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w\pwengholm\diyefxecad\elecalcexcel\"/>
    </mc:Choice>
  </mc:AlternateContent>
  <xr:revisionPtr revIDLastSave="0" documentId="13_ncr:1_{E6FA72FE-8D27-4CA0-A601-F75C4B58ACA3}" xr6:coauthVersionLast="47" xr6:coauthVersionMax="47" xr10:uidLastSave="{00000000-0000-0000-0000-000000000000}"/>
  <bookViews>
    <workbookView xWindow="-120" yWindow="-120" windowWidth="20730" windowHeight="11280" tabRatio="758" xr2:uid="{00000000-000D-0000-FFFF-FFFF00000000}"/>
  </bookViews>
  <sheets>
    <sheet name="Index" sheetId="19" r:id="rId1"/>
    <sheet name="Sheet1" sheetId="20" r:id="rId2"/>
    <sheet name="Sheet2" sheetId="21" r:id="rId3"/>
    <sheet name="Sheet3" sheetId="22" r:id="rId4"/>
    <sheet name="Sheet4" sheetId="23" r:id="rId5"/>
    <sheet name="Sheet5" sheetId="24" r:id="rId6"/>
    <sheet name="Sheet6" sheetId="25" r:id="rId7"/>
    <sheet name="Sheet7" sheetId="26" r:id="rId8"/>
    <sheet name="Sheet8" sheetId="27" r:id="rId9"/>
    <sheet name="Sheet9" sheetId="28" r:id="rId10"/>
    <sheet name="Sheet10" sheetId="32" r:id="rId11"/>
    <sheet name="Sheet11" sheetId="30" r:id="rId12"/>
    <sheet name="Sheet12" sheetId="31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9" i="32" l="1"/>
  <c r="J267" i="32"/>
  <c r="H267" i="32"/>
  <c r="K266" i="32"/>
  <c r="G266" i="32"/>
  <c r="J263" i="32"/>
  <c r="H263" i="32"/>
  <c r="D260" i="32"/>
  <c r="D259" i="32"/>
  <c r="D258" i="32"/>
  <c r="D257" i="32"/>
  <c r="D261" i="32" s="1"/>
  <c r="D240" i="32"/>
  <c r="J235" i="32"/>
  <c r="H235" i="32"/>
  <c r="G234" i="32"/>
  <c r="D232" i="32"/>
  <c r="H231" i="32"/>
  <c r="D231" i="32"/>
  <c r="D230" i="32"/>
  <c r="D229" i="32"/>
  <c r="D233" i="32" s="1"/>
  <c r="K201" i="32"/>
  <c r="D199" i="32"/>
  <c r="D197" i="32"/>
  <c r="K196" i="32"/>
  <c r="H196" i="32"/>
  <c r="D196" i="32"/>
  <c r="D192" i="32"/>
  <c r="K191" i="32"/>
  <c r="J191" i="32"/>
  <c r="D191" i="32"/>
  <c r="D190" i="32"/>
  <c r="D189" i="32"/>
  <c r="J188" i="32"/>
  <c r="D188" i="32"/>
  <c r="D187" i="32"/>
  <c r="D186" i="32"/>
  <c r="D185" i="32"/>
  <c r="D184" i="32"/>
  <c r="D165" i="32"/>
  <c r="J163" i="32"/>
  <c r="D162" i="32"/>
  <c r="J158" i="32"/>
  <c r="H158" i="32"/>
  <c r="D158" i="32"/>
  <c r="J153" i="32"/>
  <c r="D153" i="32"/>
  <c r="D152" i="32"/>
  <c r="D151" i="32"/>
  <c r="D150" i="32"/>
  <c r="D149" i="32"/>
  <c r="D148" i="32"/>
  <c r="D147" i="32"/>
  <c r="D146" i="32"/>
  <c r="D154" i="32" s="1"/>
  <c r="D124" i="32"/>
  <c r="K123" i="32"/>
  <c r="D122" i="32"/>
  <c r="H120" i="32"/>
  <c r="D120" i="32"/>
  <c r="K117" i="32"/>
  <c r="J117" i="32"/>
  <c r="D116" i="32"/>
  <c r="D115" i="32"/>
  <c r="J114" i="32"/>
  <c r="D114" i="32"/>
  <c r="D113" i="32"/>
  <c r="D112" i="32"/>
  <c r="D111" i="32"/>
  <c r="D110" i="32"/>
  <c r="D94" i="32"/>
  <c r="J91" i="32"/>
  <c r="D91" i="32"/>
  <c r="D90" i="32"/>
  <c r="H88" i="32"/>
  <c r="J86" i="32"/>
  <c r="D86" i="32"/>
  <c r="D85" i="32"/>
  <c r="D84" i="32"/>
  <c r="D83" i="32"/>
  <c r="D82" i="32"/>
  <c r="D81" i="32"/>
  <c r="D80" i="32"/>
  <c r="J62" i="32"/>
  <c r="D62" i="32"/>
  <c r="K61" i="32"/>
  <c r="H61" i="32"/>
  <c r="D61" i="32"/>
  <c r="D60" i="32"/>
  <c r="J58" i="32"/>
  <c r="D55" i="32"/>
  <c r="D54" i="32"/>
  <c r="D53" i="32"/>
  <c r="D52" i="32"/>
  <c r="D56" i="32" s="1"/>
  <c r="D40" i="32"/>
  <c r="D37" i="32"/>
  <c r="J34" i="32"/>
  <c r="H34" i="32"/>
  <c r="D32" i="32"/>
  <c r="D31" i="32"/>
  <c r="D30" i="32"/>
  <c r="D29" i="32"/>
  <c r="D33" i="32" s="1"/>
  <c r="G20" i="32"/>
  <c r="G21" i="32" s="1"/>
  <c r="F20" i="32"/>
  <c r="I20" i="32" s="1"/>
  <c r="J19" i="32"/>
  <c r="D270" i="32" s="1"/>
  <c r="H19" i="32"/>
  <c r="D266" i="32" s="1"/>
  <c r="G19" i="32"/>
  <c r="F19" i="32"/>
  <c r="I19" i="32" s="1"/>
  <c r="K17" i="32"/>
  <c r="D205" i="32" s="1"/>
  <c r="J17" i="32"/>
  <c r="D201" i="32" s="1"/>
  <c r="I17" i="32"/>
  <c r="H17" i="32"/>
  <c r="D161" i="32" s="1"/>
  <c r="K16" i="32"/>
  <c r="D164" i="32" s="1"/>
  <c r="J16" i="32"/>
  <c r="D93" i="32" s="1"/>
  <c r="I16" i="32"/>
  <c r="H16" i="32"/>
  <c r="D160" i="32" s="1"/>
  <c r="K15" i="32"/>
  <c r="D242" i="32" s="1"/>
  <c r="J15" i="32"/>
  <c r="D63" i="32" s="1"/>
  <c r="I15" i="32"/>
  <c r="I21" i="32" s="1"/>
  <c r="H15" i="32"/>
  <c r="F268" i="32" s="1"/>
  <c r="G14" i="32"/>
  <c r="F27" i="27"/>
  <c r="F26" i="27"/>
  <c r="F25" i="27"/>
  <c r="F29" i="27"/>
  <c r="F13" i="27"/>
  <c r="D96" i="31"/>
  <c r="E96" i="31" s="1"/>
  <c r="C96" i="31" s="1"/>
  <c r="D95" i="31"/>
  <c r="E95" i="31" s="1"/>
  <c r="C95" i="31" s="1"/>
  <c r="D94" i="31"/>
  <c r="E94" i="31" s="1"/>
  <c r="C94" i="31" s="1"/>
  <c r="E93" i="31"/>
  <c r="C93" i="31" s="1"/>
  <c r="D93" i="31"/>
  <c r="D91" i="31"/>
  <c r="E91" i="31" s="1"/>
  <c r="C91" i="31" s="1"/>
  <c r="D90" i="31"/>
  <c r="E90" i="31" s="1"/>
  <c r="C90" i="31" s="1"/>
  <c r="D89" i="31"/>
  <c r="E89" i="31" s="1"/>
  <c r="C89" i="31" s="1"/>
  <c r="E88" i="31"/>
  <c r="C88" i="31" s="1"/>
  <c r="D88" i="31"/>
  <c r="D86" i="31"/>
  <c r="E86" i="31" s="1"/>
  <c r="C86" i="31" s="1"/>
  <c r="D85" i="31"/>
  <c r="E85" i="31" s="1"/>
  <c r="C85" i="31" s="1"/>
  <c r="D84" i="31"/>
  <c r="E84" i="31" s="1"/>
  <c r="C84" i="31" s="1"/>
  <c r="E83" i="31"/>
  <c r="C83" i="31" s="1"/>
  <c r="D83" i="31"/>
  <c r="D81" i="31"/>
  <c r="E81" i="31" s="1"/>
  <c r="C81" i="31" s="1"/>
  <c r="D80" i="31"/>
  <c r="E80" i="31" s="1"/>
  <c r="C80" i="31" s="1"/>
  <c r="D79" i="31"/>
  <c r="E79" i="31" s="1"/>
  <c r="C79" i="31" s="1"/>
  <c r="E78" i="31"/>
  <c r="C78" i="31" s="1"/>
  <c r="D78" i="31"/>
  <c r="D76" i="31"/>
  <c r="E76" i="31" s="1"/>
  <c r="C76" i="31" s="1"/>
  <c r="D75" i="31"/>
  <c r="E75" i="31" s="1"/>
  <c r="C75" i="31" s="1"/>
  <c r="D74" i="31"/>
  <c r="E74" i="31" s="1"/>
  <c r="C74" i="31" s="1"/>
  <c r="E73" i="31"/>
  <c r="C73" i="31" s="1"/>
  <c r="D73" i="31"/>
  <c r="D71" i="31"/>
  <c r="E71" i="31" s="1"/>
  <c r="C71" i="31" s="1"/>
  <c r="D70" i="31"/>
  <c r="E70" i="31" s="1"/>
  <c r="C70" i="31" s="1"/>
  <c r="D69" i="31"/>
  <c r="E69" i="31" s="1"/>
  <c r="C69" i="31" s="1"/>
  <c r="E68" i="31"/>
  <c r="C68" i="31" s="1"/>
  <c r="D68" i="31"/>
  <c r="D66" i="31"/>
  <c r="E66" i="31" s="1"/>
  <c r="C66" i="31" s="1"/>
  <c r="D65" i="31"/>
  <c r="E65" i="31" s="1"/>
  <c r="C65" i="31" s="1"/>
  <c r="D64" i="31"/>
  <c r="E64" i="31" s="1"/>
  <c r="C64" i="31" s="1"/>
  <c r="E63" i="31"/>
  <c r="C63" i="31" s="1"/>
  <c r="D63" i="31"/>
  <c r="D61" i="31"/>
  <c r="E61" i="31" s="1"/>
  <c r="C61" i="31" s="1"/>
  <c r="D60" i="31"/>
  <c r="E60" i="31" s="1"/>
  <c r="C60" i="31" s="1"/>
  <c r="D59" i="31"/>
  <c r="E59" i="31" s="1"/>
  <c r="C59" i="31" s="1"/>
  <c r="E58" i="31"/>
  <c r="C58" i="31" s="1"/>
  <c r="D58" i="31"/>
  <c r="D56" i="31"/>
  <c r="E56" i="31" s="1"/>
  <c r="C56" i="31" s="1"/>
  <c r="D55" i="31"/>
  <c r="E55" i="31" s="1"/>
  <c r="C55" i="31" s="1"/>
  <c r="D54" i="31"/>
  <c r="E54" i="31" s="1"/>
  <c r="C54" i="31" s="1"/>
  <c r="E53" i="31"/>
  <c r="C53" i="31" s="1"/>
  <c r="D53" i="31"/>
  <c r="D51" i="31"/>
  <c r="E51" i="31" s="1"/>
  <c r="C51" i="31" s="1"/>
  <c r="D50" i="31"/>
  <c r="E50" i="31" s="1"/>
  <c r="C50" i="31" s="1"/>
  <c r="D49" i="31"/>
  <c r="E49" i="31" s="1"/>
  <c r="C49" i="31" s="1"/>
  <c r="E48" i="31"/>
  <c r="C48" i="31" s="1"/>
  <c r="D48" i="31"/>
  <c r="D46" i="31"/>
  <c r="E46" i="31" s="1"/>
  <c r="C46" i="31" s="1"/>
  <c r="D45" i="31"/>
  <c r="E45" i="31" s="1"/>
  <c r="C45" i="31" s="1"/>
  <c r="D44" i="31"/>
  <c r="E44" i="31" s="1"/>
  <c r="C44" i="31" s="1"/>
  <c r="E43" i="31"/>
  <c r="C43" i="31" s="1"/>
  <c r="D43" i="31"/>
  <c r="D41" i="31"/>
  <c r="E41" i="31" s="1"/>
  <c r="C41" i="31" s="1"/>
  <c r="D40" i="31"/>
  <c r="E40" i="31" s="1"/>
  <c r="C40" i="31" s="1"/>
  <c r="D39" i="31"/>
  <c r="E39" i="31" s="1"/>
  <c r="C39" i="31" s="1"/>
  <c r="E38" i="31"/>
  <c r="C38" i="31" s="1"/>
  <c r="D38" i="31"/>
  <c r="D36" i="31"/>
  <c r="E36" i="31" s="1"/>
  <c r="C36" i="31" s="1"/>
  <c r="D35" i="31"/>
  <c r="E35" i="31" s="1"/>
  <c r="C35" i="31" s="1"/>
  <c r="D34" i="31"/>
  <c r="E34" i="31" s="1"/>
  <c r="C34" i="31" s="1"/>
  <c r="E33" i="31"/>
  <c r="C33" i="31" s="1"/>
  <c r="D33" i="31"/>
  <c r="D31" i="31"/>
  <c r="E31" i="31" s="1"/>
  <c r="C31" i="31" s="1"/>
  <c r="D30" i="31"/>
  <c r="E30" i="31" s="1"/>
  <c r="C30" i="31" s="1"/>
  <c r="D29" i="31"/>
  <c r="E29" i="31" s="1"/>
  <c r="C29" i="31" s="1"/>
  <c r="E28" i="31"/>
  <c r="C28" i="31" s="1"/>
  <c r="D28" i="31"/>
  <c r="D26" i="31"/>
  <c r="E26" i="31" s="1"/>
  <c r="C26" i="31" s="1"/>
  <c r="D25" i="31"/>
  <c r="E25" i="31" s="1"/>
  <c r="C25" i="31" s="1"/>
  <c r="D24" i="31"/>
  <c r="E24" i="31" s="1"/>
  <c r="C24" i="31" s="1"/>
  <c r="E23" i="31"/>
  <c r="C23" i="31" s="1"/>
  <c r="D23" i="31"/>
  <c r="D21" i="31"/>
  <c r="E21" i="31" s="1"/>
  <c r="C21" i="31" s="1"/>
  <c r="D20" i="31"/>
  <c r="E20" i="31" s="1"/>
  <c r="C20" i="31" s="1"/>
  <c r="D19" i="31"/>
  <c r="E19" i="31" s="1"/>
  <c r="C19" i="31" s="1"/>
  <c r="E18" i="31"/>
  <c r="C18" i="31" s="1"/>
  <c r="D18" i="31"/>
  <c r="I10" i="31"/>
  <c r="C86" i="30"/>
  <c r="C82" i="30"/>
  <c r="C78" i="30"/>
  <c r="C77" i="30"/>
  <c r="C76" i="30"/>
  <c r="C75" i="30"/>
  <c r="C70" i="30"/>
  <c r="C66" i="30"/>
  <c r="C65" i="30"/>
  <c r="C64" i="30"/>
  <c r="C55" i="30"/>
  <c r="C51" i="30"/>
  <c r="C50" i="30"/>
  <c r="C47" i="30"/>
  <c r="C43" i="30"/>
  <c r="C42" i="30"/>
  <c r="C32" i="30"/>
  <c r="C79" i="30" s="1"/>
  <c r="C31" i="30"/>
  <c r="C29" i="30"/>
  <c r="C73" i="30" s="1"/>
  <c r="C25" i="30"/>
  <c r="C24" i="30"/>
  <c r="G12" i="30"/>
  <c r="C89" i="30" s="1"/>
  <c r="E11" i="28"/>
  <c r="D9" i="28"/>
  <c r="F7" i="28"/>
  <c r="F23" i="27"/>
  <c r="F31" i="27" s="1"/>
  <c r="F19" i="27"/>
  <c r="F18" i="27"/>
  <c r="F17" i="27"/>
  <c r="F15" i="27"/>
  <c r="F14" i="27"/>
  <c r="F8" i="27"/>
  <c r="F9" i="27" s="1"/>
  <c r="C25" i="26"/>
  <c r="F25" i="26" s="1"/>
  <c r="F21" i="26"/>
  <c r="C21" i="26"/>
  <c r="F14" i="26"/>
  <c r="F16" i="26" s="1"/>
  <c r="C14" i="26"/>
  <c r="F17" i="26" s="1"/>
  <c r="F13" i="26"/>
  <c r="C13" i="26"/>
  <c r="C12" i="26"/>
  <c r="F12" i="26" s="1"/>
  <c r="I9" i="26"/>
  <c r="I8" i="26"/>
  <c r="I21" i="26" s="1"/>
  <c r="L7" i="26"/>
  <c r="I5" i="26"/>
  <c r="J10" i="25"/>
  <c r="G13" i="25" s="1"/>
  <c r="H10" i="25"/>
  <c r="J7" i="25"/>
  <c r="J13" i="25" s="1"/>
  <c r="H11" i="24"/>
  <c r="H7" i="24"/>
  <c r="G17" i="23"/>
  <c r="G10" i="23"/>
  <c r="G7" i="23"/>
  <c r="I51" i="22"/>
  <c r="F51" i="22"/>
  <c r="C51" i="22"/>
  <c r="I32" i="22"/>
  <c r="F32" i="22"/>
  <c r="C32" i="22"/>
  <c r="F19" i="22"/>
  <c r="F18" i="22"/>
  <c r="I17" i="22"/>
  <c r="I18" i="22" s="1"/>
  <c r="I19" i="22" s="1"/>
  <c r="F17" i="22"/>
  <c r="C17" i="22"/>
  <c r="C18" i="22" s="1"/>
  <c r="C19" i="22" s="1"/>
  <c r="F14" i="22"/>
  <c r="I13" i="22"/>
  <c r="I14" i="22" s="1"/>
  <c r="F13" i="22"/>
  <c r="C13" i="22"/>
  <c r="C14" i="22" s="1"/>
  <c r="I9" i="22"/>
  <c r="I10" i="22" s="1"/>
  <c r="F9" i="22"/>
  <c r="F10" i="22" s="1"/>
  <c r="C9" i="22"/>
  <c r="C10" i="22" s="1"/>
  <c r="G7" i="21"/>
  <c r="H7" i="21" s="1"/>
  <c r="J24" i="20"/>
  <c r="G24" i="20"/>
  <c r="D24" i="20"/>
  <c r="J19" i="20"/>
  <c r="G19" i="20"/>
  <c r="D19" i="20"/>
  <c r="J14" i="20"/>
  <c r="G14" i="20"/>
  <c r="D14" i="20"/>
  <c r="J9" i="20"/>
  <c r="G9" i="20"/>
  <c r="D9" i="20"/>
  <c r="F21" i="32" l="1"/>
  <c r="F61" i="32"/>
  <c r="F62" i="32"/>
  <c r="D95" i="32"/>
  <c r="F122" i="32"/>
  <c r="D159" i="32"/>
  <c r="D163" i="32"/>
  <c r="F197" i="32"/>
  <c r="D200" i="32"/>
  <c r="D237" i="32"/>
  <c r="D241" i="32"/>
  <c r="H20" i="32"/>
  <c r="D38" i="32"/>
  <c r="D92" i="32"/>
  <c r="D121" i="32"/>
  <c r="D123" i="32"/>
  <c r="D198" i="32"/>
  <c r="D204" i="32"/>
  <c r="D238" i="32"/>
  <c r="D265" i="32"/>
  <c r="K20" i="32"/>
  <c r="H21" i="32"/>
  <c r="D39" i="32"/>
  <c r="F121" i="32"/>
  <c r="D127" i="32"/>
  <c r="F198" i="32"/>
  <c r="D239" i="32"/>
  <c r="F267" i="32"/>
  <c r="C33" i="30"/>
  <c r="C48" i="30"/>
  <c r="C52" i="30"/>
  <c r="C71" i="30"/>
  <c r="C83" i="30"/>
  <c r="C87" i="30"/>
  <c r="C30" i="30"/>
  <c r="C53" i="30"/>
  <c r="C72" i="30"/>
  <c r="C80" i="30"/>
  <c r="C84" i="30"/>
  <c r="C88" i="30"/>
  <c r="C54" i="30"/>
  <c r="C81" i="30"/>
  <c r="C85" i="30"/>
  <c r="F11" i="27"/>
  <c r="F10" i="27"/>
  <c r="F30" i="27"/>
  <c r="F15" i="26"/>
  <c r="C15" i="26"/>
  <c r="K7" i="26" s="1"/>
  <c r="C16" i="26"/>
  <c r="K23" i="26" s="1"/>
  <c r="I15" i="26"/>
  <c r="I28" i="26"/>
  <c r="L23" i="26"/>
  <c r="F27" i="26"/>
  <c r="F29" i="26" s="1"/>
  <c r="C29" i="26" s="1"/>
  <c r="M23" i="26" s="1"/>
  <c r="C26" i="26"/>
  <c r="C28" i="26"/>
  <c r="M7" i="26" s="1"/>
  <c r="F26" i="26"/>
  <c r="K10" i="25"/>
  <c r="K13" i="25" s="1"/>
  <c r="F13" i="25"/>
  <c r="F10" i="25"/>
  <c r="D10" i="25"/>
  <c r="G10" i="25"/>
  <c r="K7" i="25"/>
  <c r="F10" i="21"/>
  <c r="E10" i="21"/>
  <c r="D268" i="32" l="1"/>
  <c r="D267" i="32"/>
  <c r="D272" i="32"/>
  <c r="D64" i="32"/>
  <c r="D271" i="32"/>
  <c r="D126" i="32"/>
  <c r="D202" i="32"/>
  <c r="D203" i="32"/>
  <c r="D125" i="32"/>
  <c r="D65" i="32"/>
  <c r="K21" i="32"/>
  <c r="C49" i="30"/>
  <c r="C74" i="30"/>
  <c r="N7" i="26"/>
  <c r="C27" i="26"/>
  <c r="I22" i="26"/>
  <c r="F28" i="26"/>
  <c r="F30" i="26" l="1"/>
  <c r="N23" i="26"/>
</calcChain>
</file>

<file path=xl/sharedStrings.xml><?xml version="1.0" encoding="utf-8"?>
<sst xmlns="http://schemas.openxmlformats.org/spreadsheetml/2006/main" count="1026" uniqueCount="445">
  <si>
    <t>Primary</t>
  </si>
  <si>
    <t>Winding</t>
  </si>
  <si>
    <t>Voltage</t>
  </si>
  <si>
    <t>Secondary 1</t>
  </si>
  <si>
    <t>Secondary 2</t>
  </si>
  <si>
    <t>Secondary 3</t>
  </si>
  <si>
    <t xml:space="preserve">* </t>
  </si>
  <si>
    <t>* SPICE (Simulation Program with Integrated Circuit Emphasis)</t>
  </si>
  <si>
    <t>*</t>
  </si>
  <si>
    <t>RG1 P2 0 1G</t>
  </si>
  <si>
    <t>RG2 0 S2 1G</t>
  </si>
  <si>
    <t>RG3 0 S4 1G</t>
  </si>
  <si>
    <t>.ENDS</t>
  </si>
  <si>
    <t>Resistance</t>
  </si>
  <si>
    <t>* XFRM2SCT</t>
  </si>
  <si>
    <t>.SUBCKT XFRM2SCT  P1 P2 S1 CT S2 S3 S4</t>
  </si>
  <si>
    <t>RG2 0 CT 1G</t>
  </si>
  <si>
    <t>RG3 0 S2 1G</t>
  </si>
  <si>
    <t>RG4 0 S4 1G</t>
  </si>
  <si>
    <t>.SUBCKT XFRM2S  P1 P2 S1 S2 S3 S4</t>
  </si>
  <si>
    <t>* XFRM3S</t>
  </si>
  <si>
    <t>.SUBCKT XFRM3S  P1 P2 S1 S2 S3 S4 S5 S6</t>
  </si>
  <si>
    <t>.SUBCKT XFRM1SCT  P1 P2 S1 CT S2</t>
  </si>
  <si>
    <t>* XFRM1SCT</t>
  </si>
  <si>
    <t>* XFRM3SCT</t>
  </si>
  <si>
    <t>RG5 0 S6 1G</t>
  </si>
  <si>
    <t>* XFRM1S</t>
  </si>
  <si>
    <t>.SUBCKT XFRM1S  P1 P2 S1 S2</t>
  </si>
  <si>
    <t>* XFRM2S</t>
  </si>
  <si>
    <t>RG4 0 S6 1G</t>
  </si>
  <si>
    <t>Ls Henries</t>
  </si>
  <si>
    <t>Es÷Ep =</t>
  </si>
  <si>
    <t>Ns÷Np</t>
  </si>
  <si>
    <t>Secondary</t>
  </si>
  <si>
    <t xml:space="preserve">Voltage </t>
  </si>
  <si>
    <t>Center-Tapped</t>
  </si>
  <si>
    <t>Volts</t>
  </si>
  <si>
    <t>Ls CT Henries</t>
  </si>
  <si>
    <t>Formulas:</t>
  </si>
  <si>
    <t>Inductance</t>
  </si>
  <si>
    <t>Turns Ratio</t>
  </si>
  <si>
    <t>* SUBCIRCUIT</t>
  </si>
  <si>
    <t xml:space="preserve">Examples: </t>
  </si>
  <si>
    <t>XFRM1S.CIR</t>
  </si>
  <si>
    <t>XFRM1SCT.CIR</t>
  </si>
  <si>
    <t>XFRM2S.CIR</t>
  </si>
  <si>
    <t>XFRM2SCT.CIR</t>
  </si>
  <si>
    <t>XFRM3S.CIR</t>
  </si>
  <si>
    <t>XFRM3SCT.CIR</t>
  </si>
  <si>
    <t xml:space="preserve">Copy &amp; Paste Same into Text Editor (e.g. Notepad) ... </t>
  </si>
  <si>
    <t>INSTRUCTIONS FOR CREATING SPICE SUBCIRUIT:</t>
  </si>
  <si>
    <t>Enter Values into Bordered Cells ...</t>
  </si>
  <si>
    <t>SPKRXFRM1.CIR</t>
  </si>
  <si>
    <t>SPKRXFRM2.CIR</t>
  </si>
  <si>
    <t>SPKRXFRM3.CIR</t>
  </si>
  <si>
    <t>Transformer Coupling Factor Equation:</t>
  </si>
  <si>
    <t>K = √(2-((1+F3dB-Lo/F3dB-Hi)/(1-F3dB-Lo/F3dB-Hi))²)</t>
  </si>
  <si>
    <t>Low Frequency</t>
  </si>
  <si>
    <t>High Frequency</t>
  </si>
  <si>
    <t>Coupling Factor K</t>
  </si>
  <si>
    <t>Screen Grid</t>
  </si>
  <si>
    <t>Impedance</t>
  </si>
  <si>
    <t>Tap Fraction</t>
  </si>
  <si>
    <t>* SPKRXFRM1</t>
  </si>
  <si>
    <t>.SUBCKT SPKRXFRM1 P1 P2 Sp1 Sp2</t>
  </si>
  <si>
    <t>* SPKRXFRM2</t>
  </si>
  <si>
    <t>.SUBCKT SPKRXFRM2 P1 B P2 Sp1 Sp2</t>
  </si>
  <si>
    <t>* SPKRXFRM3</t>
  </si>
  <si>
    <t>.SUBCKT SPKRXFRM3 P1 Sg1 B Sg2 P2 Sp1 Sp2</t>
  </si>
  <si>
    <t>Save As…. Name of Subcircuit with .CIR File Extension.</t>
  </si>
  <si>
    <t>"Save As…." Name of Subcircuit with .CIR File Extension.</t>
  </si>
  <si>
    <t>* Primary Voltage</t>
  </si>
  <si>
    <t>* Secondary Voltage</t>
  </si>
  <si>
    <t xml:space="preserve">* Secondary Voltage CT </t>
  </si>
  <si>
    <t>* Secondary 1 Voltage CT</t>
  </si>
  <si>
    <t>* Secondary 2 Voltage</t>
  </si>
  <si>
    <t>* Secondary 1 Voltage</t>
  </si>
  <si>
    <t>* Secondary 3 Voltage</t>
  </si>
  <si>
    <t>Select Entire Individual Subcircuit within Dotted Bordered Area ...</t>
  </si>
  <si>
    <t>* Screen Grid Tap</t>
  </si>
  <si>
    <t>* Primary Z Ohms</t>
  </si>
  <si>
    <t>* Secondary Z Ohms</t>
  </si>
  <si>
    <t>* Primary Z Ohms CT</t>
  </si>
  <si>
    <t>Amperage</t>
  </si>
  <si>
    <t>RL = √E/I</t>
  </si>
  <si>
    <t>Enter Voltage, Amperage and Primary Inductance into Bordered Cells ...</t>
  </si>
  <si>
    <t>KALL =  0.999997999994</t>
  </si>
  <si>
    <t>Fixed Coupling Factor:</t>
  </si>
  <si>
    <t>2-Stage Transistor Amplifier Calculator Worksheet</t>
  </si>
  <si>
    <t>ESTIMATED COMPONENT VALUES</t>
  </si>
  <si>
    <t>Rbc1</t>
  </si>
  <si>
    <t>Rc1</t>
  </si>
  <si>
    <t>Rbc2</t>
  </si>
  <si>
    <t>Rc2</t>
  </si>
  <si>
    <t>Vcc (V+)</t>
  </si>
  <si>
    <t>Vref</t>
  </si>
  <si>
    <t>V1offset = 
Vcc - (Vref * 2)</t>
  </si>
  <si>
    <t>Ic1</t>
  </si>
  <si>
    <t>Ic1 = Vref / Rc1</t>
  </si>
  <si>
    <t>Ib1</t>
  </si>
  <si>
    <t>Ibe1</t>
  </si>
  <si>
    <t>VRc1</t>
  </si>
  <si>
    <t>Re1</t>
  </si>
  <si>
    <t>VRe1</t>
  </si>
  <si>
    <t>VRbc1</t>
  </si>
  <si>
    <t>Rbe1</t>
  </si>
  <si>
    <t>VRbe1</t>
  </si>
  <si>
    <t>uF</t>
  </si>
  <si>
    <t>Ic2</t>
  </si>
  <si>
    <t>Ic2 = Vref / Rc2</t>
  </si>
  <si>
    <t>Rbe2</t>
  </si>
  <si>
    <t>Ib2</t>
  </si>
  <si>
    <t>Ibe2</t>
  </si>
  <si>
    <t>VRc2</t>
  </si>
  <si>
    <t>Re2</t>
  </si>
  <si>
    <t>VRe2</t>
  </si>
  <si>
    <t>VRbc2</t>
  </si>
  <si>
    <t>VRbe2</t>
  </si>
  <si>
    <t>Capacitance</t>
  </si>
  <si>
    <t>nF</t>
  </si>
  <si>
    <t>pF</t>
  </si>
  <si>
    <t>Ohm</t>
  </si>
  <si>
    <t xml:space="preserve"> Frequency</t>
  </si>
  <si>
    <t>Hz</t>
  </si>
  <si>
    <t>kHz</t>
  </si>
  <si>
    <t>Gain2 (Av2)</t>
  </si>
  <si>
    <t>hfe1 (Beta1)</t>
  </si>
  <si>
    <t>hfe2 (Beta 2)</t>
  </si>
  <si>
    <t>Ce1</t>
  </si>
  <si>
    <t>fL1 Hz</t>
  </si>
  <si>
    <t>fL2 Hz</t>
  </si>
  <si>
    <t>Ce2</t>
  </si>
  <si>
    <t>V2offset = 
Vcc - (Vref * 2)</t>
  </si>
  <si>
    <t>Vbe1Sat</t>
  </si>
  <si>
    <t>VRbe2 = VRe2 + Vbe2Sat</t>
  </si>
  <si>
    <t>Vbe2Sat</t>
  </si>
  <si>
    <t>Q1 Amplifier</t>
  </si>
  <si>
    <t>Q2 Amplifier</t>
  </si>
  <si>
    <t>VRbc1 = Vcc - VRbe1</t>
  </si>
  <si>
    <t>VRbc2 =Vcc - VRbe2</t>
  </si>
  <si>
    <t>R1 =</t>
  </si>
  <si>
    <t>R2 =</t>
  </si>
  <si>
    <t>Q =</t>
  </si>
  <si>
    <t>MHz</t>
  </si>
  <si>
    <t>Frequency</t>
  </si>
  <si>
    <t>(Converted)</t>
  </si>
  <si>
    <t>kOhm</t>
  </si>
  <si>
    <t>MOhm</t>
  </si>
  <si>
    <t>(Suggested Value P1 = R2)</t>
  </si>
  <si>
    <t>Calculated:</t>
  </si>
  <si>
    <t>Fr =</t>
  </si>
  <si>
    <t>Fr = Resonant Frequency</t>
  </si>
  <si>
    <t>Definitions:</t>
  </si>
  <si>
    <t>Q = Quality Factor</t>
  </si>
  <si>
    <t>Fl =</t>
  </si>
  <si>
    <t>Fh =</t>
  </si>
  <si>
    <t>BW =</t>
  </si>
  <si>
    <t>BW = Bandwidth</t>
  </si>
  <si>
    <t>Fh = High Frequency -3dB</t>
  </si>
  <si>
    <t>Fl =  Low Frequency -3dB</t>
  </si>
  <si>
    <t>BW = ΔF = Fh-Fl = Fr/Q</t>
  </si>
  <si>
    <t>Fl = Fr-ΔF/2</t>
  </si>
  <si>
    <t>Links to Calculator Worksheets:</t>
  </si>
  <si>
    <t>Sheet1</t>
  </si>
  <si>
    <t>Sheet2</t>
  </si>
  <si>
    <t>Sheet3</t>
  </si>
  <si>
    <t>Sheet4</t>
  </si>
  <si>
    <t>Sheet5</t>
  </si>
  <si>
    <t>Fh = Fr+ΔF/2</t>
  </si>
  <si>
    <t xml:space="preserve">I = </t>
  </si>
  <si>
    <t>R =</t>
  </si>
  <si>
    <t>I =</t>
  </si>
  <si>
    <t xml:space="preserve">I = √(P/R) </t>
  </si>
  <si>
    <t>P =</t>
  </si>
  <si>
    <t>R = P/I²</t>
  </si>
  <si>
    <t xml:space="preserve">P = I²*R </t>
  </si>
  <si>
    <t xml:space="preserve"> E= I* R</t>
  </si>
  <si>
    <t>E = P/I</t>
  </si>
  <si>
    <t>E = √(P*R)</t>
  </si>
  <si>
    <t>E =</t>
  </si>
  <si>
    <t>I = E/R</t>
  </si>
  <si>
    <t>I = P/E</t>
  </si>
  <si>
    <t>R = E/I</t>
  </si>
  <si>
    <t>R = E²/P</t>
  </si>
  <si>
    <t>P = E*I</t>
  </si>
  <si>
    <t>P = E²/R</t>
  </si>
  <si>
    <t>E = Volts</t>
  </si>
  <si>
    <t>I = Amps</t>
  </si>
  <si>
    <t>P = Watts</t>
  </si>
  <si>
    <t>Ohm's Law Calculator Worksheet</t>
  </si>
  <si>
    <t>Sheet6</t>
  </si>
  <si>
    <t>F = R/(2*π*L)</t>
  </si>
  <si>
    <t>L = R/(2*π*F)</t>
  </si>
  <si>
    <t>R = 2*π*F*L</t>
  </si>
  <si>
    <t>Henries</t>
  </si>
  <si>
    <t>R = Ohm</t>
  </si>
  <si>
    <t>L = 1/(4*π²*F²*C)</t>
  </si>
  <si>
    <t>C = 1/(4*π²*F²*L)</t>
  </si>
  <si>
    <t>Ce1 = 1 / (2 * π * fL1 * Re1)</t>
  </si>
  <si>
    <t>Ce2 = 1 / (2 * π * fL2 * Re2)</t>
  </si>
  <si>
    <t>F = 1/(2*π*R*C)</t>
  </si>
  <si>
    <t>C = 1/(2*π*F*R*)</t>
  </si>
  <si>
    <t>R = 1/(2*π*F*C*)</t>
  </si>
  <si>
    <t>Octaves</t>
  </si>
  <si>
    <t>C1 =</t>
  </si>
  <si>
    <t>C2 =</t>
  </si>
  <si>
    <t>Factor</t>
  </si>
  <si>
    <t>F = 1/(2*π*(√L*C))</t>
  </si>
  <si>
    <t>n =</t>
  </si>
  <si>
    <t>n = Number of Octaves</t>
  </si>
  <si>
    <t>C1 = 1/(4*n*π*R1*Fr)</t>
  </si>
  <si>
    <t>Q = √(2^n)/(2^n−1) = Fr/BW</t>
  </si>
  <si>
    <t>Passive Filters Calculator Worksheet</t>
  </si>
  <si>
    <t>SPICE Power Transformers Calculator Worksheet</t>
  </si>
  <si>
    <t>SPICE Output Transformers Calculator Worksheet</t>
  </si>
  <si>
    <t>Active OpAmp Equalizer Calculator Worksheet</t>
  </si>
  <si>
    <t>Vin</t>
  </si>
  <si>
    <t>Vout</t>
  </si>
  <si>
    <t>dB</t>
  </si>
  <si>
    <t>LED Resistor Calculator Worksheet</t>
  </si>
  <si>
    <t>Vs</t>
  </si>
  <si>
    <t>Vf (LED)</t>
  </si>
  <si>
    <t>I mA (LED)</t>
  </si>
  <si>
    <t>Sheet8</t>
  </si>
  <si>
    <t>R1</t>
  </si>
  <si>
    <t>R2</t>
  </si>
  <si>
    <t>317/337 Voltage Regulator Calculator Worksheet</t>
  </si>
  <si>
    <t>C2 = n/(π*R2*Fr)</t>
  </si>
  <si>
    <t>Ls/4 =</t>
  </si>
  <si>
    <t>R1 = R2/((Vout/1.25)-1)</t>
  </si>
  <si>
    <t>R2 = (Vout-1.25)/(1.25/R1)</t>
  </si>
  <si>
    <t>I = 1.25/R1</t>
  </si>
  <si>
    <t xml:space="preserve">Formulas: </t>
  </si>
  <si>
    <t>Vout = 1.25*(1+R2/R1)</t>
  </si>
  <si>
    <t>Sheet9</t>
  </si>
  <si>
    <t>R Ohms (LED)</t>
  </si>
  <si>
    <t>BJT Transistor Calculator Worksheet</t>
  </si>
  <si>
    <t>Vcc</t>
  </si>
  <si>
    <t>hfe (Gain)</t>
  </si>
  <si>
    <t>Rc</t>
  </si>
  <si>
    <t>Re</t>
  </si>
  <si>
    <t>R1(bc)</t>
  </si>
  <si>
    <t>R2(be)</t>
  </si>
  <si>
    <t>Ib (mA)</t>
  </si>
  <si>
    <t>I1 (mA)</t>
  </si>
  <si>
    <t>I2 (mA)</t>
  </si>
  <si>
    <t>Vrc</t>
  </si>
  <si>
    <t>Vre</t>
  </si>
  <si>
    <t>Vce</t>
  </si>
  <si>
    <t>Ie (mA)</t>
  </si>
  <si>
    <t>Ic (mA)</t>
  </si>
  <si>
    <t>BJT Transistor Formulas:</t>
  </si>
  <si>
    <t>|| = Parallel Formula</t>
  </si>
  <si>
    <t>Vin = Ib*(R2/(R1+R2))</t>
  </si>
  <si>
    <t>Ic = hfe*Ib</t>
  </si>
  <si>
    <t>Ie = (Ic*(hfe+1))/hfe</t>
  </si>
  <si>
    <t xml:space="preserve">   </t>
  </si>
  <si>
    <t>Rbc = R1</t>
  </si>
  <si>
    <t>Rbe = R2</t>
  </si>
  <si>
    <t>Vf = Vbe = 0.7V (Default)</t>
  </si>
  <si>
    <t>Rb{th}</t>
  </si>
  <si>
    <t>Vb{th}</t>
  </si>
  <si>
    <t>{th} = (Thevenin Voltage &amp; Resistor Circuit Equiv.)</t>
  </si>
  <si>
    <t>R(th}</t>
  </si>
  <si>
    <t>Itot (mA)</t>
  </si>
  <si>
    <t>Vb{th} = Vcc*(R2/(R1+R2)</t>
  </si>
  <si>
    <t>Vrc = Ie*Rc</t>
  </si>
  <si>
    <t>Vre = Ie*Re</t>
  </si>
  <si>
    <t>Ib = (Vb{th}-0.7)/(Rb{th}+((hfe+1)*Re))</t>
  </si>
  <si>
    <t>Ieq = (Vb{th}-Vbe)/((Rb{th}/(hfe+1))+Re)</t>
  </si>
  <si>
    <t>Current Divider Formulas:</t>
  </si>
  <si>
    <t>{th} = Thevenin (Voltage &amp; Resistor Circuit Equiv.)</t>
  </si>
  <si>
    <t>R{th} = R1||R2 = ((1/R1)+(1/R2)) = ((R1*R2)/(R1+R2))</t>
  </si>
  <si>
    <t>==========</t>
  </si>
  <si>
    <t>It = Vs/((R1*R2)/(R1+R2)) = Vs/R{th}</t>
  </si>
  <si>
    <t>I1 = Itot*(R2/(R1+R2))</t>
  </si>
  <si>
    <t>I2 = Itot*(R1/(R1+R2))</t>
  </si>
  <si>
    <t>Vin (mV)</t>
  </si>
  <si>
    <t>Rin = (Vin-0.7)/Ib</t>
  </si>
  <si>
    <t>Rin (On)</t>
  </si>
  <si>
    <t>Vce = Vcc-(Vrc+Vre) = Vcc-((Ie*(Rc+Re))</t>
  </si>
  <si>
    <t>Sheet10</t>
  </si>
  <si>
    <t>Sheet11</t>
  </si>
  <si>
    <t>Calculate</t>
  </si>
  <si>
    <t>Press "Calculate" or an Empty Cell</t>
  </si>
  <si>
    <t>Current Divider Calculator Worksheet</t>
  </si>
  <si>
    <t>Rb{th} = R1||R2 = 1/((1/R1)+(1/R2)) = ((R1*R2)/(R1+R2))</t>
  </si>
  <si>
    <t>(Calculate Resonant Frequency by Capacitance)</t>
  </si>
  <si>
    <t>Electronics Calculators Excel Workbook (elecalc.xlsx)</t>
  </si>
  <si>
    <t>Lp*(Ns÷Np)² =</t>
  </si>
  <si>
    <t>COLOR</t>
  </si>
  <si>
    <t>VF (MIN-MAX)</t>
  </si>
  <si>
    <t>3.2-4.4</t>
  </si>
  <si>
    <t>Violet</t>
  </si>
  <si>
    <t>2.8-4.0</t>
  </si>
  <si>
    <t>2.5-3.7</t>
  </si>
  <si>
    <t>Green</t>
  </si>
  <si>
    <t>1.9-4.0</t>
  </si>
  <si>
    <t>Yellow</t>
  </si>
  <si>
    <t>2.1-2.2</t>
  </si>
  <si>
    <t>Orange</t>
  </si>
  <si>
    <t>Red</t>
  </si>
  <si>
    <t>1.6-2.0</t>
  </si>
  <si>
    <t>Infrared</t>
  </si>
  <si>
    <t>&gt; 1.9</t>
  </si>
  <si>
    <t>Ultraviolet</t>
  </si>
  <si>
    <t>VF (TYP)</t>
  </si>
  <si>
    <t>Blue/White</t>
  </si>
  <si>
    <t xml:space="preserve">Vs-Vf/If = </t>
  </si>
  <si>
    <t>Vs-Vf/R  =</t>
  </si>
  <si>
    <t>Av = rc /re</t>
  </si>
  <si>
    <t>Vout (mV)</t>
  </si>
  <si>
    <t>Vout = Vin*Av</t>
  </si>
  <si>
    <t>Gain1 (Av1)</t>
  </si>
  <si>
    <t>Vout = Vin*(Av1*Av2)</t>
  </si>
  <si>
    <t>VRbe1 = VRe1 + Vbe1Sat</t>
  </si>
  <si>
    <t>Typical LED Forward Voltage (Vf)</t>
  </si>
  <si>
    <t>* Secondary Amperage</t>
  </si>
  <si>
    <t>* Secondary 1 Amperage</t>
  </si>
  <si>
    <t>* Secondary 2 Amperage</t>
  </si>
  <si>
    <t xml:space="preserve">* Secondary 1 Amperage </t>
  </si>
  <si>
    <t>* Secondary 3 Amperage</t>
  </si>
  <si>
    <t>K12 L1 L2 0.999997999994</t>
  </si>
  <si>
    <t>K13 L1 L3 0.999997999994</t>
  </si>
  <si>
    <t>K23 L2 L3 0.999997999994</t>
  </si>
  <si>
    <t>* Primary Amperage</t>
  </si>
  <si>
    <t>* Wattage</t>
  </si>
  <si>
    <t>Pinout</t>
  </si>
  <si>
    <t>LM317 (+V)</t>
  </si>
  <si>
    <t>Adjust</t>
  </si>
  <si>
    <t>Out</t>
  </si>
  <si>
    <t>In</t>
  </si>
  <si>
    <t>LM337 (-V)</t>
  </si>
  <si>
    <t>Lp to Ls</t>
  </si>
  <si>
    <t>.SUBCKT XFRM3SCT  P1 P2 S1 CT S2 S3 S4 S5 S6</t>
  </si>
  <si>
    <t>K14 L1 L4 0.999997999994</t>
  </si>
  <si>
    <t>K24 L2 L4 0.999997999994</t>
  </si>
  <si>
    <t>K34 L3 L4 0.999997999994</t>
  </si>
  <si>
    <t>K15 L1 L5 0.999997999994</t>
  </si>
  <si>
    <t>K25 L2 L5 0.999997999994</t>
  </si>
  <si>
    <t>K35 L3 L5 0.999997999994</t>
  </si>
  <si>
    <t>K45 L4 L5 0.999997999994</t>
  </si>
  <si>
    <t>K12 L1 L2</t>
  </si>
  <si>
    <t xml:space="preserve">K12 L1 L2 </t>
  </si>
  <si>
    <t>K13 L1 L3</t>
  </si>
  <si>
    <t>K23 L2 L3</t>
  </si>
  <si>
    <t>K14 L1 L4</t>
  </si>
  <si>
    <t>K15 L1 L5</t>
  </si>
  <si>
    <t>K24 L2 L4</t>
  </si>
  <si>
    <t>K25 L2 L5</t>
  </si>
  <si>
    <t>K34 L3 L4</t>
  </si>
  <si>
    <t>K35 L3 L5</t>
  </si>
  <si>
    <t>K45 L4 L5</t>
  </si>
  <si>
    <t>Resistance (RL)</t>
  </si>
  <si>
    <t>Primary CT/(Ea.)</t>
  </si>
  <si>
    <t>Secondary 1 CT/(Ea.)</t>
  </si>
  <si>
    <t>* XFRMPCT1S</t>
  </si>
  <si>
    <t>.SUBCKT XFRMPCT1S  P1 P2 S1 S2</t>
  </si>
  <si>
    <t>Center-</t>
  </si>
  <si>
    <t>Tapped</t>
  </si>
  <si>
    <t>RG1 PCT 0 1G</t>
  </si>
  <si>
    <t>RG2 P2 0 1G</t>
  </si>
  <si>
    <t>RG3 0 S2</t>
  </si>
  <si>
    <t>* XFRMPCT1SCT</t>
  </si>
  <si>
    <t>* Primary Voltage CT</t>
  </si>
  <si>
    <t>.SUBCKT XFRMPCT1SCT  P1 P2 S1 CT S2</t>
  </si>
  <si>
    <t>RG2 P2  0 1G</t>
  </si>
  <si>
    <t>RG3 0  CT 1G</t>
  </si>
  <si>
    <t>RG4 0  S2 1G</t>
  </si>
  <si>
    <t>* Primary Z Ohms P-P</t>
  </si>
  <si>
    <t>Excel Worksheet</t>
  </si>
  <si>
    <t>3D Sphere Polar to Cartesian Translator</t>
  </si>
  <si>
    <t>(w/X,XY,YZ,Z Euler Quadratic Coordinates Orientation)</t>
  </si>
  <si>
    <t>NOTE:</t>
  </si>
  <si>
    <t>Ignore Greater than 360 Degrees for less than 16 Points Readout</t>
  </si>
  <si>
    <t>Sphere Radius =</t>
  </si>
  <si>
    <t>(n)Chords/Points =</t>
  </si>
  <si>
    <t>(Enter Number of Divisions in Box)</t>
  </si>
  <si>
    <t>Angle Radians =</t>
  </si>
  <si>
    <t>n*(π/180°)</t>
  </si>
  <si>
    <t>1 Radian =</t>
  </si>
  <si>
    <t>Angle Degrees =</t>
  </si>
  <si>
    <t>(Calculated Degrees/Division)</t>
  </si>
  <si>
    <t>Rotation Degrees =</t>
  </si>
  <si>
    <t>(Enter Degrees Rotation in Box)</t>
  </si>
  <si>
    <t>Point #</t>
  </si>
  <si>
    <t>Axis</t>
  </si>
  <si>
    <t>Coordinates</t>
  </si>
  <si>
    <t>Degrees</t>
  </si>
  <si>
    <t>(Radians)</t>
  </si>
  <si>
    <t>X axis</t>
  </si>
  <si>
    <t>X,Y axis</t>
  </si>
  <si>
    <t>Y,Z axis</t>
  </si>
  <si>
    <t>Z axis</t>
  </si>
  <si>
    <t>Sheet12</t>
  </si>
  <si>
    <t>Full Wave Bridge CT/Ea.</t>
  </si>
  <si>
    <t>Vout=10^(dB/20)*Vin</t>
  </si>
  <si>
    <t>dB=20log10(Vout/Vin)</t>
  </si>
  <si>
    <t>dB=10log10(Pout/Pin)</t>
  </si>
  <si>
    <t>Pin</t>
  </si>
  <si>
    <t>Pout</t>
  </si>
  <si>
    <t>Decibels Calculator Worksheet</t>
  </si>
  <si>
    <t>Vout=10^(dB/10)*Pin</t>
  </si>
  <si>
    <t>Sheet7</t>
  </si>
  <si>
    <t>Amps</t>
  </si>
  <si>
    <t>Ohms</t>
  </si>
  <si>
    <t>C1=</t>
  </si>
  <si>
    <t>(Enter Sphere Radius [1/2Diameter] in Box)</t>
  </si>
  <si>
    <t>L1 1 P2</t>
  </si>
  <si>
    <t>L2 2 S2</t>
  </si>
  <si>
    <t>RL1 P1 1</t>
  </si>
  <si>
    <t>RL2 S1 2</t>
  </si>
  <si>
    <t>L2 2 CT</t>
  </si>
  <si>
    <t>L3 3 S2</t>
  </si>
  <si>
    <t>RL3 CT 3</t>
  </si>
  <si>
    <t>L3 3 S4</t>
  </si>
  <si>
    <t>RL3 S3 3</t>
  </si>
  <si>
    <t>L4 4 S4</t>
  </si>
  <si>
    <t>RL4 S3 4</t>
  </si>
  <si>
    <t>L4 4 S6</t>
  </si>
  <si>
    <t>RL4 S5 4</t>
  </si>
  <si>
    <t>L5 5 S6</t>
  </si>
  <si>
    <t>RL5 S5 5</t>
  </si>
  <si>
    <t>L1 1 PCT</t>
  </si>
  <si>
    <t>L2 2 P2</t>
  </si>
  <si>
    <t>RL2 2 PCT</t>
  </si>
  <si>
    <t>RL3 S1 3</t>
  </si>
  <si>
    <t>L3 3 CT</t>
  </si>
  <si>
    <t>L4 4 S2</t>
  </si>
  <si>
    <t>RL4 4 CT</t>
  </si>
  <si>
    <t>L2 2 Sp2</t>
  </si>
  <si>
    <t>RL2 Sp1 2</t>
  </si>
  <si>
    <t>L1 1 B</t>
  </si>
  <si>
    <t>L3 3 Sp2</t>
  </si>
  <si>
    <t>RL2 B 2</t>
  </si>
  <si>
    <t>RL3 Sp1 3</t>
  </si>
  <si>
    <t>L1 1 Sg1</t>
  </si>
  <si>
    <t>L2 2 B</t>
  </si>
  <si>
    <t>L3 3 Sg2</t>
  </si>
  <si>
    <t>L4 4 P2</t>
  </si>
  <si>
    <t>L5 5 Sp2</t>
  </si>
  <si>
    <t>RL2 Sg1 2</t>
  </si>
  <si>
    <t>RL3 B 3</t>
  </si>
  <si>
    <t>RL4 Sg2 4</t>
  </si>
  <si>
    <t>RL5 Sp1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</si>
</sst>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#,##0.000"/>
    <numFmt numFmtId="166" formatCode="0_);\(0\)"/>
    <numFmt numFmtId="167" formatCode="0.00000;[Red]0.00000"/>
    <numFmt numFmtId="168" formatCode="0.00000"/>
    <numFmt numFmtId="169" formatCode="0.000000"/>
    <numFmt numFmtId="170" formatCode="0.0000"/>
  </numFmts>
  <fonts count="1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indexed="22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b/>
      <u/>
      <sz val="11"/>
      <color theme="10"/>
      <name val="Calibri"/>
      <family val="2"/>
      <scheme val="minor"/>
    </font>
    <font>
      <b/>
      <u/>
      <sz val="10"/>
      <color theme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9" tint="-0.499984740745262"/>
      <name val="Arial"/>
      <family val="2"/>
    </font>
    <font>
      <b/>
      <sz val="10"/>
      <color rgb="FF233343"/>
      <name val="Arial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 style="mediumDashed">
        <color indexed="64"/>
      </right>
      <top/>
      <bottom style="mediumDashed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2" fillId="0" borderId="0"/>
  </cellStyleXfs>
  <cellXfs count="87">
    <xf numFmtId="0" fontId="0" fillId="0" borderId="0" xfId="0"/>
    <xf numFmtId="0" fontId="7" fillId="0" borderId="0" xfId="1" applyFont="1"/>
    <xf numFmtId="0" fontId="5" fillId="0" borderId="0" xfId="2" applyFont="1"/>
    <xf numFmtId="0" fontId="6" fillId="0" borderId="0" xfId="1" applyFont="1" applyProtection="1"/>
    <xf numFmtId="0" fontId="6" fillId="0" borderId="0" xfId="1" applyFont="1"/>
    <xf numFmtId="0" fontId="5" fillId="0" borderId="0" xfId="2" applyFont="1" applyAlignment="1">
      <alignment horizontal="left"/>
    </xf>
    <xf numFmtId="0" fontId="6" fillId="0" borderId="0" xfId="1" applyFont="1" applyAlignment="1">
      <alignment horizontal="left"/>
    </xf>
    <xf numFmtId="0" fontId="8" fillId="0" borderId="0" xfId="2" applyFont="1"/>
    <xf numFmtId="0" fontId="5" fillId="6" borderId="0" xfId="2" applyFont="1" applyFill="1"/>
    <xf numFmtId="0" fontId="5" fillId="5" borderId="0" xfId="2" applyFont="1" applyFill="1"/>
    <xf numFmtId="0" fontId="8" fillId="0" borderId="9" xfId="2" applyFont="1" applyBorder="1" applyProtection="1">
      <protection locked="0"/>
    </xf>
    <xf numFmtId="0" fontId="1" fillId="5" borderId="0" xfId="2" applyFont="1" applyFill="1"/>
    <xf numFmtId="0" fontId="5" fillId="4" borderId="0" xfId="2" applyFont="1" applyFill="1"/>
    <xf numFmtId="0" fontId="5" fillId="2" borderId="0" xfId="2" applyFont="1" applyFill="1"/>
    <xf numFmtId="0" fontId="5" fillId="3" borderId="0" xfId="2" applyFont="1" applyFill="1"/>
    <xf numFmtId="164" fontId="8" fillId="0" borderId="9" xfId="2" applyNumberFormat="1" applyFont="1" applyBorder="1" applyAlignment="1" applyProtection="1">
      <alignment horizontal="left"/>
      <protection locked="0"/>
    </xf>
    <xf numFmtId="1" fontId="8" fillId="0" borderId="9" xfId="2" applyNumberFormat="1" applyFont="1" applyBorder="1" applyAlignment="1" applyProtection="1">
      <alignment horizontal="left"/>
      <protection locked="0"/>
    </xf>
    <xf numFmtId="1" fontId="5" fillId="0" borderId="0" xfId="2" applyNumberFormat="1" applyFont="1" applyAlignment="1">
      <alignment horizontal="left"/>
    </xf>
    <xf numFmtId="164" fontId="5" fillId="0" borderId="0" xfId="2" applyNumberFormat="1" applyFont="1" applyAlignment="1">
      <alignment horizontal="left"/>
    </xf>
    <xf numFmtId="165" fontId="5" fillId="0" borderId="0" xfId="2" applyNumberFormat="1" applyFont="1" applyAlignment="1">
      <alignment horizontal="left"/>
    </xf>
    <xf numFmtId="11" fontId="5" fillId="0" borderId="0" xfId="2" applyNumberFormat="1" applyFont="1"/>
    <xf numFmtId="0" fontId="11" fillId="0" borderId="0" xfId="2" applyFont="1"/>
    <xf numFmtId="0" fontId="8" fillId="0" borderId="9" xfId="2" applyFont="1" applyBorder="1" applyAlignment="1" applyProtection="1">
      <alignment horizontal="left"/>
      <protection locked="0"/>
    </xf>
    <xf numFmtId="1" fontId="1" fillId="0" borderId="0" xfId="2" applyNumberFormat="1" applyFont="1" applyAlignment="1">
      <alignment horizontal="left"/>
    </xf>
    <xf numFmtId="2" fontId="5" fillId="0" borderId="0" xfId="2" applyNumberFormat="1" applyFont="1" applyAlignment="1">
      <alignment horizontal="left"/>
    </xf>
    <xf numFmtId="0" fontId="2" fillId="0" borderId="0" xfId="2" applyFont="1"/>
    <xf numFmtId="0" fontId="9" fillId="0" borderId="0" xfId="2" applyFont="1"/>
    <xf numFmtId="0" fontId="2" fillId="0" borderId="0" xfId="2" applyFont="1" applyAlignment="1">
      <alignment horizontal="center"/>
    </xf>
    <xf numFmtId="166" fontId="2" fillId="0" borderId="0" xfId="2" applyNumberFormat="1" applyFont="1" applyAlignment="1">
      <alignment horizontal="center"/>
    </xf>
    <xf numFmtId="0" fontId="2" fillId="0" borderId="0" xfId="2" applyFont="1" applyAlignment="1">
      <alignment wrapText="1"/>
    </xf>
    <xf numFmtId="0" fontId="2" fillId="0" borderId="0" xfId="2" applyFont="1" applyProtection="1">
      <protection locked="0"/>
    </xf>
    <xf numFmtId="0" fontId="8" fillId="0" borderId="0" xfId="2" applyFont="1" applyAlignment="1">
      <alignment horizontal="left"/>
    </xf>
    <xf numFmtId="0" fontId="5" fillId="6" borderId="0" xfId="2" applyFont="1" applyFill="1" applyAlignment="1">
      <alignment horizontal="left"/>
    </xf>
    <xf numFmtId="0" fontId="5" fillId="0" borderId="0" xfId="2" applyFont="1" applyAlignment="1" applyProtection="1">
      <alignment horizontal="left"/>
      <protection locked="0"/>
    </xf>
    <xf numFmtId="167" fontId="5" fillId="0" borderId="0" xfId="2" applyNumberFormat="1" applyFont="1" applyAlignment="1">
      <alignment horizontal="left"/>
    </xf>
    <xf numFmtId="168" fontId="5" fillId="0" borderId="0" xfId="2" applyNumberFormat="1" applyFont="1" applyAlignment="1">
      <alignment horizontal="left"/>
    </xf>
    <xf numFmtId="168" fontId="8" fillId="0" borderId="9" xfId="2" applyNumberFormat="1" applyFont="1" applyBorder="1" applyAlignment="1" applyProtection="1">
      <alignment horizontal="left"/>
      <protection locked="0"/>
    </xf>
    <xf numFmtId="0" fontId="5" fillId="0" borderId="0" xfId="2" applyFont="1" applyAlignment="1">
      <alignment horizontal="center"/>
    </xf>
    <xf numFmtId="169" fontId="5" fillId="0" borderId="0" xfId="2" applyNumberFormat="1" applyFont="1" applyAlignment="1">
      <alignment horizontal="left"/>
    </xf>
    <xf numFmtId="0" fontId="8" fillId="0" borderId="10" xfId="2" applyFont="1" applyBorder="1" applyAlignment="1" applyProtection="1">
      <alignment horizontal="left"/>
      <protection locked="0"/>
    </xf>
    <xf numFmtId="0" fontId="8" fillId="0" borderId="11" xfId="2" applyFont="1" applyBorder="1" applyAlignment="1" applyProtection="1">
      <alignment horizontal="left"/>
      <protection locked="0"/>
    </xf>
    <xf numFmtId="0" fontId="8" fillId="0" borderId="0" xfId="2" applyFont="1" applyAlignment="1" applyProtection="1">
      <alignment horizontal="left"/>
      <protection locked="0"/>
    </xf>
    <xf numFmtId="0" fontId="10" fillId="0" borderId="0" xfId="2" applyFont="1" applyAlignment="1">
      <alignment horizontal="left"/>
    </xf>
    <xf numFmtId="0" fontId="5" fillId="0" borderId="1" xfId="2" applyFont="1" applyBorder="1" applyAlignment="1">
      <alignment horizontal="left"/>
    </xf>
    <xf numFmtId="0" fontId="5" fillId="0" borderId="2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4" xfId="2" applyFont="1" applyBorder="1" applyAlignment="1">
      <alignment horizontal="left"/>
    </xf>
    <xf numFmtId="0" fontId="5" fillId="0" borderId="5" xfId="2" applyFont="1" applyBorder="1" applyAlignment="1">
      <alignment horizontal="left"/>
    </xf>
    <xf numFmtId="0" fontId="5" fillId="0" borderId="6" xfId="2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8" xfId="2" applyFont="1" applyBorder="1" applyAlignment="1">
      <alignment horizontal="left"/>
    </xf>
    <xf numFmtId="0" fontId="8" fillId="0" borderId="9" xfId="2" applyFont="1" applyBorder="1" applyAlignment="1">
      <alignment horizontal="left"/>
    </xf>
    <xf numFmtId="0" fontId="3" fillId="0" borderId="0" xfId="2" applyFont="1" applyAlignment="1">
      <alignment horizontal="left"/>
    </xf>
    <xf numFmtId="0" fontId="5" fillId="7" borderId="9" xfId="2" applyFont="1" applyFill="1" applyBorder="1" applyAlignment="1">
      <alignment horizontal="left"/>
    </xf>
    <xf numFmtId="170" fontId="5" fillId="0" borderId="0" xfId="2" applyNumberFormat="1" applyFont="1" applyAlignment="1" applyProtection="1">
      <alignment horizontal="left"/>
      <protection locked="0"/>
    </xf>
    <xf numFmtId="170" fontId="5" fillId="0" borderId="0" xfId="2" applyNumberFormat="1" applyFont="1" applyAlignment="1">
      <alignment horizontal="left"/>
    </xf>
    <xf numFmtId="2" fontId="5" fillId="2" borderId="0" xfId="2" applyNumberFormat="1" applyFont="1" applyFill="1" applyAlignment="1">
      <alignment horizontal="left"/>
    </xf>
    <xf numFmtId="1" fontId="5" fillId="2" borderId="0" xfId="2" applyNumberFormat="1" applyFont="1" applyFill="1" applyAlignment="1">
      <alignment horizontal="left"/>
    </xf>
    <xf numFmtId="3" fontId="5" fillId="2" borderId="0" xfId="2" applyNumberFormat="1" applyFont="1" applyFill="1" applyAlignment="1">
      <alignment horizontal="left"/>
    </xf>
    <xf numFmtId="165" fontId="5" fillId="2" borderId="0" xfId="2" applyNumberFormat="1" applyFont="1" applyFill="1" applyAlignment="1">
      <alignment horizontal="left"/>
    </xf>
    <xf numFmtId="164" fontId="5" fillId="2" borderId="0" xfId="2" applyNumberFormat="1" applyFont="1" applyFill="1" applyAlignment="1">
      <alignment horizontal="left"/>
    </xf>
    <xf numFmtId="0" fontId="5" fillId="2" borderId="0" xfId="2" applyFont="1" applyFill="1" applyAlignment="1">
      <alignment horizontal="left"/>
    </xf>
    <xf numFmtId="0" fontId="2" fillId="2" borderId="0" xfId="2" applyFont="1" applyFill="1"/>
    <xf numFmtId="3" fontId="2" fillId="2" borderId="0" xfId="2" applyNumberFormat="1" applyFont="1" applyFill="1"/>
    <xf numFmtId="1" fontId="2" fillId="2" borderId="0" xfId="2" applyNumberFormat="1" applyFont="1" applyFill="1"/>
    <xf numFmtId="164" fontId="2" fillId="2" borderId="0" xfId="2" applyNumberFormat="1" applyFont="1" applyFill="1"/>
    <xf numFmtId="166" fontId="2" fillId="2" borderId="0" xfId="2" applyNumberFormat="1" applyFont="1" applyFill="1" applyAlignment="1">
      <alignment horizontal="center"/>
    </xf>
    <xf numFmtId="167" fontId="5" fillId="2" borderId="0" xfId="2" applyNumberFormat="1" applyFont="1" applyFill="1" applyAlignment="1">
      <alignment horizontal="left"/>
    </xf>
    <xf numFmtId="168" fontId="5" fillId="2" borderId="0" xfId="2" applyNumberFormat="1" applyFont="1" applyFill="1" applyAlignment="1">
      <alignment horizontal="left"/>
    </xf>
    <xf numFmtId="169" fontId="5" fillId="2" borderId="0" xfId="2" applyNumberFormat="1" applyFont="1" applyFill="1" applyAlignment="1">
      <alignment horizontal="left"/>
    </xf>
    <xf numFmtId="0" fontId="1" fillId="2" borderId="0" xfId="2" applyFont="1" applyFill="1" applyAlignment="1">
      <alignment horizontal="left"/>
    </xf>
    <xf numFmtId="0" fontId="5" fillId="2" borderId="0" xfId="2" applyFont="1" applyFill="1" applyAlignment="1">
      <alignment horizontal="center"/>
    </xf>
    <xf numFmtId="0" fontId="10" fillId="8" borderId="0" xfId="2" applyFont="1" applyFill="1" applyAlignment="1">
      <alignment horizontal="left"/>
    </xf>
    <xf numFmtId="169" fontId="10" fillId="8" borderId="0" xfId="2" applyNumberFormat="1" applyFont="1" applyFill="1" applyAlignment="1">
      <alignment horizontal="left"/>
    </xf>
    <xf numFmtId="0" fontId="10" fillId="8" borderId="0" xfId="2" applyFont="1" applyFill="1" applyAlignment="1">
      <alignment horizontal="center"/>
    </xf>
    <xf numFmtId="0" fontId="5" fillId="8" borderId="0" xfId="2" applyFont="1" applyFill="1"/>
    <xf numFmtId="170" fontId="8" fillId="0" borderId="9" xfId="2" applyNumberFormat="1" applyFont="1" applyBorder="1" applyAlignment="1" applyProtection="1">
      <alignment horizontal="left"/>
      <protection locked="0"/>
    </xf>
    <xf numFmtId="170" fontId="5" fillId="2" borderId="0" xfId="2" applyNumberFormat="1" applyFont="1" applyFill="1" applyAlignment="1">
      <alignment horizontal="left"/>
    </xf>
    <xf numFmtId="0" fontId="10" fillId="0" borderId="5" xfId="2" applyFont="1" applyBorder="1" applyAlignment="1">
      <alignment horizontal="left"/>
    </xf>
    <xf numFmtId="0" fontId="5" fillId="0" borderId="12" xfId="2" applyFont="1" applyBorder="1" applyAlignment="1">
      <alignment horizontal="left"/>
    </xf>
    <xf numFmtId="0" fontId="5" fillId="0" borderId="13" xfId="2" applyFont="1" applyBorder="1" applyAlignment="1">
      <alignment horizontal="left"/>
    </xf>
    <xf numFmtId="0" fontId="5" fillId="5" borderId="13" xfId="2" applyFont="1" applyFill="1" applyBorder="1" applyAlignment="1">
      <alignment horizontal="left"/>
    </xf>
    <xf numFmtId="0" fontId="5" fillId="0" borderId="14" xfId="2" applyFont="1" applyBorder="1" applyAlignment="1">
      <alignment horizontal="left"/>
    </xf>
    <xf numFmtId="0" fontId="5" fillId="9" borderId="0" xfId="2" applyFont="1" applyFill="1" applyAlignment="1">
      <alignment horizontal="left"/>
    </xf>
    <xf numFmtId="169" fontId="5" fillId="9" borderId="0" xfId="2" applyNumberFormat="1" applyFont="1" applyFill="1" applyAlignment="1">
      <alignment horizontal="left"/>
    </xf>
    <xf numFmtId="0" fontId="5" fillId="9" borderId="0" xfId="2" applyFont="1" applyFill="1"/>
    <xf numFmtId="168" fontId="8" fillId="0" borderId="0" xfId="2" applyNumberFormat="1" applyFont="1" applyAlignment="1" applyProtection="1">
      <alignment horizontal="left"/>
      <protection locked="0"/>
    </xf>
  </cellXfs>
  <cellStyles count="3">
    <cellStyle name="Hyperlink 2" xfId="1" xr:uid="{B7F067BB-FDE1-4F0E-A98F-A8D7237C9820}"/>
    <cellStyle name="Normal" xfId="0" builtinId="0"/>
    <cellStyle name="Normal 2" xfId="2" xr:uid="{F313D1FA-D906-4518-B9AD-88AB6D5F8F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png"/><Relationship Id="rId3" Type="http://schemas.openxmlformats.org/officeDocument/2006/relationships/image" Target="../media/image11.png"/><Relationship Id="rId7" Type="http://schemas.openxmlformats.org/officeDocument/2006/relationships/image" Target="../media/image15.png"/><Relationship Id="rId2" Type="http://schemas.openxmlformats.org/officeDocument/2006/relationships/image" Target="../media/image10.png"/><Relationship Id="rId1" Type="http://schemas.openxmlformats.org/officeDocument/2006/relationships/image" Target="../media/image9.png"/><Relationship Id="rId6" Type="http://schemas.openxmlformats.org/officeDocument/2006/relationships/image" Target="../media/image14.png"/><Relationship Id="rId5" Type="http://schemas.openxmlformats.org/officeDocument/2006/relationships/image" Target="../media/image13.png"/><Relationship Id="rId4" Type="http://schemas.openxmlformats.org/officeDocument/2006/relationships/image" Target="../media/image1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5</xdr:row>
      <xdr:rowOff>9525</xdr:rowOff>
    </xdr:from>
    <xdr:to>
      <xdr:col>14</xdr:col>
      <xdr:colOff>161925</xdr:colOff>
      <xdr:row>26</xdr:row>
      <xdr:rowOff>104775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E30FBE8-08B0-4FB0-8485-785EFF943F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4525" y="819150"/>
          <a:ext cx="4438650" cy="3514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5</xdr:row>
      <xdr:rowOff>28575</xdr:rowOff>
    </xdr:from>
    <xdr:to>
      <xdr:col>14</xdr:col>
      <xdr:colOff>371475</xdr:colOff>
      <xdr:row>21</xdr:row>
      <xdr:rowOff>142875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72C9FEE7-3F8D-4A0A-A54E-976850B80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838200"/>
          <a:ext cx="3200400" cy="274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28575</xdr:colOff>
      <xdr:row>24</xdr:row>
      <xdr:rowOff>19050</xdr:rowOff>
    </xdr:from>
    <xdr:to>
      <xdr:col>14</xdr:col>
      <xdr:colOff>371475</xdr:colOff>
      <xdr:row>40</xdr:row>
      <xdr:rowOff>133350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36EDC7B5-02E3-4362-9499-580CDAF92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3943350"/>
          <a:ext cx="3200400" cy="274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28575</xdr:colOff>
      <xdr:row>43</xdr:row>
      <xdr:rowOff>9525</xdr:rowOff>
    </xdr:from>
    <xdr:to>
      <xdr:col>14</xdr:col>
      <xdr:colOff>371475</xdr:colOff>
      <xdr:row>59</xdr:row>
      <xdr:rowOff>123825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3C4EABC0-1749-4AF8-8CBC-A17821EBE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048500"/>
          <a:ext cx="3200400" cy="274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38100</xdr:colOff>
      <xdr:row>5</xdr:row>
      <xdr:rowOff>38100</xdr:rowOff>
    </xdr:from>
    <xdr:to>
      <xdr:col>15</xdr:col>
      <xdr:colOff>38100</xdr:colOff>
      <xdr:row>28</xdr:row>
      <xdr:rowOff>104775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9DEEB4-C10A-4B84-9B63-7FB9F57EC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0" y="847725"/>
          <a:ext cx="2857500" cy="381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38100</xdr:colOff>
      <xdr:row>7</xdr:row>
      <xdr:rowOff>219075</xdr:rowOff>
    </xdr:from>
    <xdr:to>
      <xdr:col>13</xdr:col>
      <xdr:colOff>1009650</xdr:colOff>
      <xdr:row>20</xdr:row>
      <xdr:rowOff>161925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70B66015-A54D-4B97-A7BF-90863B427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1975" y="1390650"/>
          <a:ext cx="4114800" cy="2286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</xdr:colOff>
      <xdr:row>5</xdr:row>
      <xdr:rowOff>9525</xdr:rowOff>
    </xdr:from>
    <xdr:to>
      <xdr:col>12</xdr:col>
      <xdr:colOff>361950</xdr:colOff>
      <xdr:row>21</xdr:row>
      <xdr:rowOff>95250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86A4507F-E665-45D7-AA85-BF0ABBB76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7400" y="828675"/>
          <a:ext cx="3200400" cy="274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704850</xdr:colOff>
      <xdr:row>4</xdr:row>
      <xdr:rowOff>19050</xdr:rowOff>
    </xdr:from>
    <xdr:to>
      <xdr:col>9</xdr:col>
      <xdr:colOff>542627</xdr:colOff>
      <xdr:row>18</xdr:row>
      <xdr:rowOff>75902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6A1AA3A-BFD6-4113-A71A-B0D0F998A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91100" y="657225"/>
          <a:ext cx="2380952" cy="238095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19050</xdr:colOff>
      <xdr:row>148</xdr:row>
      <xdr:rowOff>142875</xdr:rowOff>
    </xdr:from>
    <xdr:ext cx="1428571" cy="2380952"/>
    <xdr:pic>
      <xdr:nvPicPr>
        <xdr:cNvPr id="2" name="Picture 1">
          <a:extLst>
            <a:ext uri="{FF2B5EF4-FFF2-40B4-BE49-F238E27FC236}">
              <a16:creationId xmlns:a16="http://schemas.microsoft.com/office/drawing/2014/main" id="{208F3575-2CAC-4EF2-BD11-286542FA6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6550" y="24107775"/>
          <a:ext cx="1428571" cy="2380952"/>
        </a:xfrm>
        <a:prstGeom prst="rect">
          <a:avLst/>
        </a:prstGeom>
      </xdr:spPr>
    </xdr:pic>
    <xdr:clientData/>
  </xdr:oneCellAnchor>
  <xdr:oneCellAnchor>
    <xdr:from>
      <xdr:col>7</xdr:col>
      <xdr:colOff>723900</xdr:colOff>
      <xdr:row>113</xdr:row>
      <xdr:rowOff>19050</xdr:rowOff>
    </xdr:from>
    <xdr:ext cx="1428571" cy="1571429"/>
    <xdr:pic>
      <xdr:nvPicPr>
        <xdr:cNvPr id="3" name="Picture 2">
          <a:extLst>
            <a:ext uri="{FF2B5EF4-FFF2-40B4-BE49-F238E27FC236}">
              <a16:creationId xmlns:a16="http://schemas.microsoft.com/office/drawing/2014/main" id="{AA128A54-B699-4A95-8E7D-2A925997F2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57975" y="18316575"/>
          <a:ext cx="1428571" cy="1571429"/>
        </a:xfrm>
        <a:prstGeom prst="rect">
          <a:avLst/>
        </a:prstGeom>
      </xdr:spPr>
    </xdr:pic>
    <xdr:clientData/>
  </xdr:oneCellAnchor>
  <xdr:oneCellAnchor>
    <xdr:from>
      <xdr:col>7</xdr:col>
      <xdr:colOff>723900</xdr:colOff>
      <xdr:row>81</xdr:row>
      <xdr:rowOff>28575</xdr:rowOff>
    </xdr:from>
    <xdr:ext cx="1428571" cy="1571429"/>
    <xdr:pic>
      <xdr:nvPicPr>
        <xdr:cNvPr id="4" name="Picture 3">
          <a:extLst>
            <a:ext uri="{FF2B5EF4-FFF2-40B4-BE49-F238E27FC236}">
              <a16:creationId xmlns:a16="http://schemas.microsoft.com/office/drawing/2014/main" id="{F77087A3-6974-4BB9-B5F9-ED320DF8A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57975" y="13144500"/>
          <a:ext cx="1428571" cy="1571429"/>
        </a:xfrm>
        <a:prstGeom prst="rect">
          <a:avLst/>
        </a:prstGeom>
      </xdr:spPr>
    </xdr:pic>
    <xdr:clientData/>
  </xdr:oneCellAnchor>
  <xdr:oneCellAnchor>
    <xdr:from>
      <xdr:col>7</xdr:col>
      <xdr:colOff>723900</xdr:colOff>
      <xdr:row>55</xdr:row>
      <xdr:rowOff>9525</xdr:rowOff>
    </xdr:from>
    <xdr:ext cx="1476190" cy="1428571"/>
    <xdr:pic>
      <xdr:nvPicPr>
        <xdr:cNvPr id="5" name="Picture 4">
          <a:extLst>
            <a:ext uri="{FF2B5EF4-FFF2-40B4-BE49-F238E27FC236}">
              <a16:creationId xmlns:a16="http://schemas.microsoft.com/office/drawing/2014/main" id="{69BA12C4-8E89-45FD-B007-3E0E37210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57975" y="8915400"/>
          <a:ext cx="1476190" cy="1428571"/>
        </a:xfrm>
        <a:prstGeom prst="rect">
          <a:avLst/>
        </a:prstGeom>
      </xdr:spPr>
    </xdr:pic>
    <xdr:clientData/>
  </xdr:oneCellAnchor>
  <xdr:oneCellAnchor>
    <xdr:from>
      <xdr:col>7</xdr:col>
      <xdr:colOff>714375</xdr:colOff>
      <xdr:row>27</xdr:row>
      <xdr:rowOff>47625</xdr:rowOff>
    </xdr:from>
    <xdr:ext cx="1428571" cy="1428571"/>
    <xdr:pic>
      <xdr:nvPicPr>
        <xdr:cNvPr id="6" name="Picture 5">
          <a:extLst>
            <a:ext uri="{FF2B5EF4-FFF2-40B4-BE49-F238E27FC236}">
              <a16:creationId xmlns:a16="http://schemas.microsoft.com/office/drawing/2014/main" id="{D9C9D502-A57C-43A6-A5F5-6C94949AE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48450" y="4419600"/>
          <a:ext cx="1428571" cy="1428571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187</xdr:row>
      <xdr:rowOff>9525</xdr:rowOff>
    </xdr:from>
    <xdr:ext cx="1428571" cy="2380952"/>
    <xdr:pic>
      <xdr:nvPicPr>
        <xdr:cNvPr id="7" name="Picture 6">
          <a:extLst>
            <a:ext uri="{FF2B5EF4-FFF2-40B4-BE49-F238E27FC236}">
              <a16:creationId xmlns:a16="http://schemas.microsoft.com/office/drawing/2014/main" id="{525E57F1-E7E8-47C1-B536-BA95A287C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67500" y="30289500"/>
          <a:ext cx="1428571" cy="2380952"/>
        </a:xfrm>
        <a:prstGeom prst="rect">
          <a:avLst/>
        </a:prstGeom>
      </xdr:spPr>
    </xdr:pic>
    <xdr:clientData/>
  </xdr:oneCellAnchor>
  <xdr:twoCellAnchor editAs="oneCell">
    <xdr:from>
      <xdr:col>8</xdr:col>
      <xdr:colOff>38100</xdr:colOff>
      <xdr:row>261</xdr:row>
      <xdr:rowOff>19050</xdr:rowOff>
    </xdr:from>
    <xdr:to>
      <xdr:col>9</xdr:col>
      <xdr:colOff>218880</xdr:colOff>
      <xdr:row>269</xdr:row>
      <xdr:rowOff>161745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46B8144F-42A9-427D-A67B-7993B67AE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705600" y="42281475"/>
          <a:ext cx="1561905" cy="1438095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228</xdr:row>
      <xdr:rowOff>152400</xdr:rowOff>
    </xdr:from>
    <xdr:to>
      <xdr:col>9</xdr:col>
      <xdr:colOff>199830</xdr:colOff>
      <xdr:row>237</xdr:row>
      <xdr:rowOff>123646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9BC958F3-51AB-47B8-A03B-33D919A83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686550" y="37071300"/>
          <a:ext cx="1561905" cy="142857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</xdr:colOff>
      <xdr:row>21</xdr:row>
      <xdr:rowOff>9525</xdr:rowOff>
    </xdr:from>
    <xdr:to>
      <xdr:col>6</xdr:col>
      <xdr:colOff>285560</xdr:colOff>
      <xdr:row>29</xdr:row>
      <xdr:rowOff>142696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BDA21A7-81C5-47A8-B870-2FE79F1895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53050" y="3457575"/>
          <a:ext cx="1523810" cy="1428571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42</xdr:row>
      <xdr:rowOff>19050</xdr:rowOff>
    </xdr:from>
    <xdr:to>
      <xdr:col>6</xdr:col>
      <xdr:colOff>285560</xdr:colOff>
      <xdr:row>50</xdr:row>
      <xdr:rowOff>152221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3F030FC-0108-478A-B6A4-0A2A41C11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53050" y="6915150"/>
          <a:ext cx="1523810" cy="1428571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</xdr:colOff>
      <xdr:row>65</xdr:row>
      <xdr:rowOff>9525</xdr:rowOff>
    </xdr:from>
    <xdr:to>
      <xdr:col>6</xdr:col>
      <xdr:colOff>447467</xdr:colOff>
      <xdr:row>73</xdr:row>
      <xdr:rowOff>142696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2DF2ECC-04AC-43F6-82B8-76B128E710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72100" y="10648950"/>
          <a:ext cx="1666667" cy="14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F4D60-D7CA-4D8D-87D5-36AB23E8115C}">
  <sheetPr codeName="Sheet2"/>
  <dimension ref="A1:E28"/>
  <sheetViews>
    <sheetView tabSelected="1" topLeftCell="A4" zoomScaleNormal="100" workbookViewId="0">
      <selection activeCell="C4" sqref="C4"/>
    </sheetView>
  </sheetViews>
  <sheetFormatPr defaultColWidth="10.7109375" defaultRowHeight="12.75" x14ac:dyDescent="0.2"/>
  <cols>
    <col min="1" max="1" width="10.7109375" style="2"/>
    <col min="2" max="2" width="50.7109375" style="2" customWidth="1"/>
    <col min="3" max="16384" width="10.7109375" style="2"/>
  </cols>
  <sheetData>
    <row r="1" spans="1:3" x14ac:dyDescent="0.2">
      <c r="A1" s="1"/>
      <c r="B1" s="2" t="s">
        <v>288</v>
      </c>
    </row>
    <row r="2" spans="1:3" x14ac:dyDescent="0.2">
      <c r="A2" s="1"/>
      <c r="B2" s="2" t="s">
        <v>162</v>
      </c>
    </row>
    <row r="4" spans="1:3" ht="15" x14ac:dyDescent="0.25">
      <c r="A4" s="2" t="s">
        <v>163</v>
      </c>
      <c r="B4" s="3" t="s">
        <v>189</v>
      </c>
    </row>
    <row r="6" spans="1:3" ht="15" x14ac:dyDescent="0.25">
      <c r="A6" s="2" t="s">
        <v>164</v>
      </c>
      <c r="B6" s="4" t="s">
        <v>285</v>
      </c>
    </row>
    <row r="8" spans="1:3" ht="15" x14ac:dyDescent="0.25">
      <c r="A8" s="2" t="s">
        <v>165</v>
      </c>
      <c r="B8" s="4" t="s">
        <v>212</v>
      </c>
      <c r="C8" s="5"/>
    </row>
    <row r="10" spans="1:3" ht="15" x14ac:dyDescent="0.25">
      <c r="A10" s="2" t="s">
        <v>166</v>
      </c>
      <c r="B10" s="4" t="s">
        <v>401</v>
      </c>
    </row>
    <row r="12" spans="1:3" ht="15" x14ac:dyDescent="0.25">
      <c r="A12" s="2" t="s">
        <v>167</v>
      </c>
      <c r="B12" s="6" t="s">
        <v>219</v>
      </c>
    </row>
    <row r="14" spans="1:3" ht="15" x14ac:dyDescent="0.25">
      <c r="A14" s="2" t="s">
        <v>190</v>
      </c>
      <c r="B14" s="4" t="s">
        <v>236</v>
      </c>
    </row>
    <row r="16" spans="1:3" ht="15" x14ac:dyDescent="0.25">
      <c r="A16" s="2" t="s">
        <v>403</v>
      </c>
      <c r="B16" s="4" t="s">
        <v>88</v>
      </c>
    </row>
    <row r="18" spans="1:5" ht="15" x14ac:dyDescent="0.25">
      <c r="A18" s="2" t="s">
        <v>223</v>
      </c>
      <c r="B18" s="4" t="s">
        <v>215</v>
      </c>
      <c r="C18" s="5"/>
      <c r="D18" s="5"/>
      <c r="E18" s="5"/>
    </row>
    <row r="19" spans="1:5" ht="15" x14ac:dyDescent="0.25">
      <c r="B19" s="4"/>
      <c r="C19" s="5"/>
      <c r="D19" s="5"/>
      <c r="E19" s="5"/>
    </row>
    <row r="20" spans="1:5" ht="15" x14ac:dyDescent="0.25">
      <c r="A20" s="2" t="s">
        <v>234</v>
      </c>
      <c r="B20" s="6" t="s">
        <v>226</v>
      </c>
      <c r="C20" s="5"/>
      <c r="D20" s="5"/>
      <c r="E20" s="5"/>
    </row>
    <row r="22" spans="1:5" ht="15" x14ac:dyDescent="0.25">
      <c r="A22" s="2" t="s">
        <v>281</v>
      </c>
      <c r="B22" s="4" t="s">
        <v>213</v>
      </c>
    </row>
    <row r="24" spans="1:5" ht="15" x14ac:dyDescent="0.25">
      <c r="A24" s="2" t="s">
        <v>282</v>
      </c>
      <c r="B24" s="4" t="s">
        <v>214</v>
      </c>
    </row>
    <row r="26" spans="1:5" ht="15" x14ac:dyDescent="0.25">
      <c r="A26" s="2" t="s">
        <v>394</v>
      </c>
      <c r="B26" s="4" t="s">
        <v>371</v>
      </c>
    </row>
    <row r="28" spans="1:5" ht="15" x14ac:dyDescent="0.25">
      <c r="B28" s="4"/>
    </row>
  </sheetData>
  <sheetProtection sheet="1" objects="1" scenarios="1"/>
  <hyperlinks>
    <hyperlink ref="B22" location="Sheet10!G3" display="SPICE Power Transformers Calculator Worksheet" xr:uid="{B18B2286-183B-4B9D-AF29-E7DFFB7557C8}"/>
    <hyperlink ref="B24" location="Sheet11!E3" display="SPICE Output Transformers Calculator Worksheet" xr:uid="{B98D19D1-4238-48B3-918E-DDCE244B5E8C}"/>
    <hyperlink ref="B16" location="Sheet7!E3" display="2-Stage Transistor Amplifier Calculator Worksheet" xr:uid="{1CD29C1E-A0BF-4545-9E83-2225A1CECBAE}"/>
    <hyperlink ref="B8" location="Sheet3!E3" display="Passive Filters Calculator Worksheet" xr:uid="{BF56EFF5-61F8-4B37-B32A-48956317D73C}"/>
    <hyperlink ref="B18" location="Sheet8!E3" display="Active OpAmp Equalizer Calculator Worksheet" xr:uid="{7045A8E8-BE9E-4F62-AD6B-2B48A92144EC}"/>
    <hyperlink ref="B4" location="Sheet1!E3" display="Ohm's Law Calculator Worksheet" xr:uid="{6C48DD63-858D-46D0-BDB1-F88A51828CFA}"/>
    <hyperlink ref="B10" location="Sheet4!E3" display="Decibels Calculator Worksheet" xr:uid="{32299257-9B95-43AD-B260-BFCE790DACF0}"/>
    <hyperlink ref="B12" location="Sheet5!E3" display="LED Resistor Calculator Worksheet" xr:uid="{8676A5F1-AF83-4C8F-9D5D-27C39D352B19}"/>
    <hyperlink ref="B20" location="Sheet9!E3" display="317/337 Voltage Regulator Calculator Worksheet" xr:uid="{AA8959EC-6107-4E87-BF2A-DF6EAF791183}"/>
    <hyperlink ref="B14" location="Sheet6!E3" display="BJT Transistor Calculator Worksheet" xr:uid="{7B56B1B6-E2BF-4A2F-81E1-2F0B0D754980}"/>
    <hyperlink ref="B6" location="Sheet2!E3" display="Current Divider Calculator Worksheet" xr:uid="{4A7CAE45-22AC-4A44-B193-2E217C40A8CB}"/>
    <hyperlink ref="B26" location="Sheet12!E3" display="3D Sphere Polar to Cartesian Translator" xr:uid="{5258B57A-9C7C-4575-BF30-4BC8360C2559}"/>
  </hyperlinks>
  <pageMargins left="0.7" right="0.7" top="0.75" bottom="0.75" header="0.3" footer="0.3"/>
  <pageSetup orientation="portrait" horizontalDpi="30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DA12E-5C21-4ED0-B404-FBD7C21CEAF4}">
  <sheetPr codeName="Sheet11"/>
  <dimension ref="A1:H24"/>
  <sheetViews>
    <sheetView workbookViewId="0">
      <selection activeCell="E3" sqref="E3"/>
    </sheetView>
  </sheetViews>
  <sheetFormatPr defaultColWidth="12.7109375" defaultRowHeight="12.75" x14ac:dyDescent="0.2"/>
  <cols>
    <col min="1" max="16384" width="12.7109375" style="5"/>
  </cols>
  <sheetData>
    <row r="1" spans="1:8" ht="12" customHeight="1" x14ac:dyDescent="0.2">
      <c r="A1" s="5" t="s">
        <v>226</v>
      </c>
    </row>
    <row r="3" spans="1:8" x14ac:dyDescent="0.2">
      <c r="A3" s="7" t="s">
        <v>51</v>
      </c>
      <c r="B3" s="2"/>
      <c r="C3" s="2"/>
      <c r="D3" s="2"/>
      <c r="E3" s="8" t="s">
        <v>283</v>
      </c>
      <c r="G3" s="13" t="s">
        <v>149</v>
      </c>
    </row>
    <row r="4" spans="1:8" x14ac:dyDescent="0.2">
      <c r="A4" s="2" t="s">
        <v>284</v>
      </c>
      <c r="B4" s="2"/>
      <c r="C4" s="2"/>
      <c r="D4" s="2"/>
      <c r="E4" s="2"/>
    </row>
    <row r="6" spans="1:8" ht="13.5" thickBot="1" x14ac:dyDescent="0.25">
      <c r="D6" s="5" t="s">
        <v>224</v>
      </c>
      <c r="E6" s="5" t="s">
        <v>225</v>
      </c>
      <c r="F6" s="5" t="s">
        <v>217</v>
      </c>
    </row>
    <row r="7" spans="1:8" ht="13.5" thickBot="1" x14ac:dyDescent="0.25">
      <c r="D7" s="22">
        <v>220</v>
      </c>
      <c r="E7" s="22">
        <v>1364</v>
      </c>
      <c r="F7" s="60">
        <f>1.25*(1+(E7/D7))</f>
        <v>9</v>
      </c>
      <c r="G7" s="18"/>
      <c r="H7" s="18"/>
    </row>
    <row r="8" spans="1:8" ht="13.5" thickBot="1" x14ac:dyDescent="0.25">
      <c r="E8" s="31"/>
    </row>
    <row r="9" spans="1:8" ht="13.5" thickBot="1" x14ac:dyDescent="0.25">
      <c r="D9" s="57">
        <f>E9/((F9/1.25)-1)</f>
        <v>220</v>
      </c>
      <c r="E9" s="22">
        <v>1364</v>
      </c>
      <c r="F9" s="22">
        <v>9</v>
      </c>
      <c r="G9" s="19"/>
      <c r="H9" s="18"/>
    </row>
    <row r="10" spans="1:8" ht="13.5" thickBot="1" x14ac:dyDescent="0.25"/>
    <row r="11" spans="1:8" ht="13.5" thickBot="1" x14ac:dyDescent="0.25">
      <c r="D11" s="22">
        <v>220</v>
      </c>
      <c r="E11" s="57">
        <f>(F11-1.25)/(1.25/D11)</f>
        <v>1364</v>
      </c>
      <c r="F11" s="22">
        <v>9</v>
      </c>
      <c r="G11" s="18"/>
      <c r="H11" s="18"/>
    </row>
    <row r="14" spans="1:8" x14ac:dyDescent="0.2">
      <c r="D14" s="5" t="s">
        <v>232</v>
      </c>
    </row>
    <row r="15" spans="1:8" x14ac:dyDescent="0.2">
      <c r="D15" s="5" t="s">
        <v>233</v>
      </c>
    </row>
    <row r="16" spans="1:8" x14ac:dyDescent="0.2">
      <c r="D16" s="5" t="s">
        <v>229</v>
      </c>
    </row>
    <row r="17" spans="4:7" x14ac:dyDescent="0.2">
      <c r="D17" s="5" t="s">
        <v>230</v>
      </c>
    </row>
    <row r="18" spans="4:7" x14ac:dyDescent="0.2">
      <c r="D18" s="5" t="s">
        <v>231</v>
      </c>
    </row>
    <row r="22" spans="4:7" x14ac:dyDescent="0.2">
      <c r="D22" s="5" t="s">
        <v>327</v>
      </c>
      <c r="E22" s="5">
        <v>1</v>
      </c>
      <c r="F22" s="5">
        <v>2</v>
      </c>
      <c r="G22" s="5">
        <v>3</v>
      </c>
    </row>
    <row r="23" spans="4:7" x14ac:dyDescent="0.2">
      <c r="D23" s="5" t="s">
        <v>328</v>
      </c>
      <c r="E23" s="5" t="s">
        <v>329</v>
      </c>
      <c r="F23" s="5" t="s">
        <v>330</v>
      </c>
      <c r="G23" s="5" t="s">
        <v>331</v>
      </c>
    </row>
    <row r="24" spans="4:7" x14ac:dyDescent="0.2">
      <c r="D24" s="5" t="s">
        <v>332</v>
      </c>
      <c r="E24" s="5" t="s">
        <v>329</v>
      </c>
      <c r="F24" s="5" t="s">
        <v>331</v>
      </c>
      <c r="G24" s="5" t="s">
        <v>330</v>
      </c>
    </row>
  </sheetData>
  <sheetProtection sheet="1" objects="1" scenarios="1"/>
  <pageMargins left="0.7" right="0.7" top="0.75" bottom="0.75" header="0.3" footer="0.3"/>
  <pageSetup orientation="portrait" horizontalDpi="30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9C822-7F89-48E7-899B-A0607225C93F}">
  <dimension ref="B1:K283"/>
  <sheetViews>
    <sheetView workbookViewId="0">
      <selection activeCell="G3" sqref="G3"/>
    </sheetView>
  </sheetViews>
  <sheetFormatPr defaultColWidth="14.7109375" defaultRowHeight="12.75" x14ac:dyDescent="0.2"/>
  <cols>
    <col min="1" max="1" width="2.7109375" style="5" customWidth="1"/>
    <col min="2" max="2" width="24.7109375" style="5" customWidth="1"/>
    <col min="3" max="3" width="2.7109375" style="5" customWidth="1"/>
    <col min="4" max="4" width="12.7109375" style="5" customWidth="1"/>
    <col min="5" max="5" width="24.7109375" style="5" customWidth="1"/>
    <col min="6" max="7" width="10.7109375" style="5" customWidth="1"/>
    <col min="8" max="8" width="11" style="5" customWidth="1"/>
    <col min="9" max="9" width="20.7109375" style="5" customWidth="1"/>
    <col min="10" max="10" width="16.7109375" style="37" customWidth="1"/>
    <col min="11" max="16384" width="14.7109375" style="5"/>
  </cols>
  <sheetData>
    <row r="1" spans="2:11" ht="12.75" customHeight="1" x14ac:dyDescent="0.2">
      <c r="B1" s="5" t="s">
        <v>213</v>
      </c>
    </row>
    <row r="2" spans="2:11" ht="12.75" customHeight="1" x14ac:dyDescent="0.2">
      <c r="I2" s="5" t="s">
        <v>38</v>
      </c>
    </row>
    <row r="3" spans="2:11" ht="12.75" customHeight="1" x14ac:dyDescent="0.2">
      <c r="B3" s="5" t="s">
        <v>50</v>
      </c>
      <c r="G3" s="8" t="s">
        <v>283</v>
      </c>
    </row>
    <row r="4" spans="2:11" ht="12.75" customHeight="1" x14ac:dyDescent="0.2">
      <c r="B4" s="31" t="s">
        <v>85</v>
      </c>
      <c r="H4" s="5" t="s">
        <v>31</v>
      </c>
      <c r="I4" s="5" t="s">
        <v>289</v>
      </c>
    </row>
    <row r="5" spans="2:11" ht="12.75" customHeight="1" x14ac:dyDescent="0.2">
      <c r="B5" s="2" t="s">
        <v>284</v>
      </c>
      <c r="C5" s="2"/>
      <c r="D5" s="2"/>
      <c r="E5" s="2"/>
      <c r="F5" s="2"/>
      <c r="H5" s="5" t="s">
        <v>32</v>
      </c>
      <c r="I5" s="5" t="s">
        <v>30</v>
      </c>
      <c r="J5" s="5" t="s">
        <v>87</v>
      </c>
    </row>
    <row r="6" spans="2:11" ht="12.75" customHeight="1" x14ac:dyDescent="0.2">
      <c r="B6" s="5" t="s">
        <v>78</v>
      </c>
      <c r="J6" s="5" t="s">
        <v>86</v>
      </c>
    </row>
    <row r="7" spans="2:11" ht="12.75" customHeight="1" x14ac:dyDescent="0.2">
      <c r="B7" s="5" t="s">
        <v>49</v>
      </c>
      <c r="H7" s="5" t="s">
        <v>84</v>
      </c>
      <c r="I7" s="5" t="s">
        <v>228</v>
      </c>
    </row>
    <row r="8" spans="2:11" ht="12.75" customHeight="1" x14ac:dyDescent="0.2">
      <c r="B8" s="5" t="s">
        <v>70</v>
      </c>
      <c r="I8" s="5" t="s">
        <v>37</v>
      </c>
    </row>
    <row r="9" spans="2:11" ht="12.75" customHeight="1" x14ac:dyDescent="0.2">
      <c r="B9" s="5" t="s">
        <v>42</v>
      </c>
    </row>
    <row r="10" spans="2:11" ht="12.75" customHeight="1" x14ac:dyDescent="0.2">
      <c r="B10" s="5" t="s">
        <v>43</v>
      </c>
      <c r="E10" s="13" t="s">
        <v>149</v>
      </c>
    </row>
    <row r="11" spans="2:11" ht="12.75" customHeight="1" x14ac:dyDescent="0.2">
      <c r="B11" s="5" t="s">
        <v>44</v>
      </c>
      <c r="J11" s="5"/>
    </row>
    <row r="12" spans="2:11" ht="12.75" customHeight="1" x14ac:dyDescent="0.2">
      <c r="B12" s="5" t="s">
        <v>45</v>
      </c>
      <c r="I12" s="5" t="s">
        <v>333</v>
      </c>
      <c r="J12" s="5"/>
    </row>
    <row r="13" spans="2:11" ht="12.75" customHeight="1" thickBot="1" x14ac:dyDescent="0.25">
      <c r="B13" s="5" t="s">
        <v>46</v>
      </c>
      <c r="E13" s="5" t="s">
        <v>1</v>
      </c>
      <c r="F13" s="5" t="s">
        <v>2</v>
      </c>
      <c r="G13" s="5" t="s">
        <v>83</v>
      </c>
      <c r="H13" s="5" t="s">
        <v>39</v>
      </c>
      <c r="I13" s="5" t="s">
        <v>40</v>
      </c>
      <c r="J13" s="5" t="s">
        <v>0</v>
      </c>
      <c r="K13" s="5" t="s">
        <v>33</v>
      </c>
    </row>
    <row r="14" spans="2:11" ht="12.75" customHeight="1" thickBot="1" x14ac:dyDescent="0.25">
      <c r="B14" s="5" t="s">
        <v>47</v>
      </c>
      <c r="E14" s="5" t="s">
        <v>0</v>
      </c>
      <c r="F14" s="22">
        <v>120</v>
      </c>
      <c r="G14" s="61">
        <f>((F15/F14)*G15)+((F16/F14)*G16)+((F17/F14)*G17)</f>
        <v>0.24000000000000005</v>
      </c>
      <c r="H14" s="22">
        <v>10</v>
      </c>
      <c r="I14" s="69">
        <v>1</v>
      </c>
      <c r="J14" s="5" t="s">
        <v>353</v>
      </c>
      <c r="K14" s="5" t="s">
        <v>353</v>
      </c>
    </row>
    <row r="15" spans="2:11" ht="12.75" customHeight="1" thickBot="1" x14ac:dyDescent="0.25">
      <c r="B15" s="5" t="s">
        <v>48</v>
      </c>
      <c r="E15" s="5" t="s">
        <v>3</v>
      </c>
      <c r="F15" s="22">
        <v>240</v>
      </c>
      <c r="G15" s="22">
        <v>0.1</v>
      </c>
      <c r="H15" s="61">
        <f>H14*(F15/F14)^2</f>
        <v>40</v>
      </c>
      <c r="I15" s="69">
        <f>F15/F14</f>
        <v>2</v>
      </c>
      <c r="J15" s="61">
        <f>SQRT(F14/((F15/F14)*G15))</f>
        <v>24.494897427831781</v>
      </c>
      <c r="K15" s="70">
        <f>SQRT(F15/G15)</f>
        <v>48.989794855663561</v>
      </c>
    </row>
    <row r="16" spans="2:11" ht="12.75" customHeight="1" thickBot="1" x14ac:dyDescent="0.25">
      <c r="E16" s="5" t="s">
        <v>4</v>
      </c>
      <c r="F16" s="39">
        <v>24</v>
      </c>
      <c r="G16" s="40">
        <v>0.1</v>
      </c>
      <c r="H16" s="61">
        <f>H14*(F16/F14)^2</f>
        <v>0.40000000000000008</v>
      </c>
      <c r="I16" s="69">
        <f>F16/F14</f>
        <v>0.2</v>
      </c>
      <c r="J16" s="61">
        <f>SQRT(F14/(((F15/F14)*G15)+((F16/F14)*G16)))</f>
        <v>23.354968324845686</v>
      </c>
      <c r="K16" s="61">
        <f>SQRT(F16/G16)</f>
        <v>15.491933384829668</v>
      </c>
    </row>
    <row r="17" spans="2:11" ht="12.75" customHeight="1" thickBot="1" x14ac:dyDescent="0.25">
      <c r="E17" s="5" t="s">
        <v>5</v>
      </c>
      <c r="F17" s="39">
        <v>24</v>
      </c>
      <c r="G17" s="22">
        <v>0.1</v>
      </c>
      <c r="H17" s="61">
        <f>H14*(F17/F14)^2</f>
        <v>0.40000000000000008</v>
      </c>
      <c r="I17" s="69">
        <f>F17/F14</f>
        <v>0.2</v>
      </c>
      <c r="J17" s="61">
        <f>SQRT(F14/(((F15/F14)*G15)+((F16/F14)*G16)+((F17/F14)*G17)))</f>
        <v>22.360679774997894</v>
      </c>
      <c r="K17" s="61">
        <f>SQRT(F17/G17)</f>
        <v>15.491933384829668</v>
      </c>
    </row>
    <row r="18" spans="2:11" ht="12.75" customHeight="1" x14ac:dyDescent="0.2">
      <c r="F18" s="41"/>
      <c r="G18" s="41"/>
      <c r="I18" s="38"/>
      <c r="J18" s="5"/>
    </row>
    <row r="19" spans="2:11" ht="12.75" customHeight="1" x14ac:dyDescent="0.2">
      <c r="E19" s="5" t="s">
        <v>354</v>
      </c>
      <c r="F19" s="61">
        <f>F14/2</f>
        <v>60</v>
      </c>
      <c r="G19" s="61">
        <f>G14/2</f>
        <v>0.12000000000000002</v>
      </c>
      <c r="H19" s="61">
        <f>H14/4</f>
        <v>2.5</v>
      </c>
      <c r="I19" s="69">
        <f>F19/F14</f>
        <v>0.5</v>
      </c>
      <c r="J19" s="61">
        <f>(SQRT(F14/((F15/F14)*G15))/2)</f>
        <v>12.24744871391589</v>
      </c>
      <c r="K19" s="61"/>
    </row>
    <row r="20" spans="2:11" ht="12.75" customHeight="1" x14ac:dyDescent="0.2">
      <c r="B20" s="85" t="s">
        <v>149</v>
      </c>
      <c r="E20" s="5" t="s">
        <v>355</v>
      </c>
      <c r="F20" s="83">
        <f>F15/2</f>
        <v>120</v>
      </c>
      <c r="G20" s="83">
        <f>G15/2</f>
        <v>0.05</v>
      </c>
      <c r="H20" s="83">
        <f>H15/4</f>
        <v>10</v>
      </c>
      <c r="I20" s="84">
        <f>F20/F14</f>
        <v>1</v>
      </c>
      <c r="J20" s="83"/>
      <c r="K20" s="83">
        <f>SQRT(F20)</f>
        <v>10.954451150103322</v>
      </c>
    </row>
    <row r="21" spans="2:11" x14ac:dyDescent="0.2">
      <c r="B21" s="75" t="s">
        <v>149</v>
      </c>
      <c r="D21" s="42" t="s">
        <v>3</v>
      </c>
      <c r="E21" s="42" t="s">
        <v>395</v>
      </c>
      <c r="F21" s="72">
        <f>F20</f>
        <v>120</v>
      </c>
      <c r="G21" s="72">
        <f>G20</f>
        <v>0.05</v>
      </c>
      <c r="H21" s="72">
        <f>H15</f>
        <v>40</v>
      </c>
      <c r="I21" s="73">
        <f>I15</f>
        <v>2</v>
      </c>
      <c r="J21" s="74"/>
      <c r="K21" s="72">
        <f>K20</f>
        <v>10.954451150103322</v>
      </c>
    </row>
    <row r="23" spans="2:11" ht="12.75" customHeight="1" thickBot="1" x14ac:dyDescent="0.25"/>
    <row r="24" spans="2:11" ht="12.75" customHeight="1" x14ac:dyDescent="0.2">
      <c r="B24" s="43" t="s">
        <v>26</v>
      </c>
      <c r="C24" s="44"/>
      <c r="D24" s="44"/>
      <c r="E24" s="45"/>
      <c r="I24" s="37"/>
    </row>
    <row r="25" spans="2:11" ht="12.75" customHeight="1" x14ac:dyDescent="0.2">
      <c r="B25" s="46" t="s">
        <v>8</v>
      </c>
      <c r="E25" s="47"/>
      <c r="I25" s="37"/>
    </row>
    <row r="26" spans="2:11" ht="12.75" customHeight="1" x14ac:dyDescent="0.2">
      <c r="B26" s="46" t="s">
        <v>7</v>
      </c>
      <c r="E26" s="47"/>
      <c r="I26" s="37"/>
    </row>
    <row r="27" spans="2:11" ht="12.75" customHeight="1" x14ac:dyDescent="0.2">
      <c r="B27" s="46" t="s">
        <v>41</v>
      </c>
      <c r="E27" s="47"/>
      <c r="I27" s="37"/>
    </row>
    <row r="28" spans="2:11" ht="12.75" customHeight="1" x14ac:dyDescent="0.2">
      <c r="B28" s="46" t="s">
        <v>8</v>
      </c>
      <c r="E28" s="47"/>
      <c r="G28" s="37"/>
      <c r="H28" s="37"/>
      <c r="I28" s="37"/>
      <c r="K28" s="37"/>
    </row>
    <row r="29" spans="2:11" ht="12.75" customHeight="1" x14ac:dyDescent="0.2">
      <c r="B29" s="46" t="s">
        <v>71</v>
      </c>
      <c r="D29" s="61">
        <f>F14</f>
        <v>120</v>
      </c>
      <c r="E29" s="47"/>
      <c r="G29" s="37"/>
      <c r="H29" s="37"/>
      <c r="I29" s="37"/>
      <c r="K29" s="37"/>
    </row>
    <row r="30" spans="2:11" ht="12.75" customHeight="1" x14ac:dyDescent="0.2">
      <c r="B30" s="46" t="s">
        <v>325</v>
      </c>
      <c r="D30" s="61">
        <f>(F15/F14)*G15</f>
        <v>0.2</v>
      </c>
      <c r="E30" s="47"/>
      <c r="G30" s="37"/>
      <c r="H30" s="37"/>
      <c r="I30" s="37"/>
      <c r="K30" s="37"/>
    </row>
    <row r="31" spans="2:11" ht="12.75" customHeight="1" x14ac:dyDescent="0.2">
      <c r="B31" s="46" t="s">
        <v>72</v>
      </c>
      <c r="D31" s="61">
        <f>F15</f>
        <v>240</v>
      </c>
      <c r="E31" s="47"/>
      <c r="G31" s="37"/>
      <c r="H31" s="37"/>
      <c r="I31" s="37"/>
      <c r="K31" s="37"/>
    </row>
    <row r="32" spans="2:11" ht="12.75" customHeight="1" x14ac:dyDescent="0.2">
      <c r="B32" s="46" t="s">
        <v>317</v>
      </c>
      <c r="D32" s="61">
        <f>G15</f>
        <v>0.1</v>
      </c>
      <c r="E32" s="47"/>
      <c r="G32" s="37"/>
      <c r="H32" s="37" t="s">
        <v>0</v>
      </c>
      <c r="I32" s="37"/>
      <c r="J32" s="37" t="s">
        <v>33</v>
      </c>
      <c r="K32" s="37"/>
    </row>
    <row r="33" spans="2:11" ht="12.75" customHeight="1" x14ac:dyDescent="0.2">
      <c r="B33" s="46" t="s">
        <v>326</v>
      </c>
      <c r="D33" s="61">
        <f>D29*D30</f>
        <v>24</v>
      </c>
      <c r="E33" s="47"/>
      <c r="G33" s="37"/>
      <c r="H33" s="37" t="s">
        <v>2</v>
      </c>
      <c r="I33" s="37"/>
      <c r="J33" s="37" t="s">
        <v>2</v>
      </c>
      <c r="K33" s="37"/>
    </row>
    <row r="34" spans="2:11" ht="12.75" customHeight="1" x14ac:dyDescent="0.2">
      <c r="B34" s="46" t="s">
        <v>8</v>
      </c>
      <c r="E34" s="47"/>
      <c r="G34" s="37"/>
      <c r="H34" s="71">
        <f>F14</f>
        <v>120</v>
      </c>
      <c r="I34" s="37"/>
      <c r="J34" s="71">
        <f>F15</f>
        <v>240</v>
      </c>
      <c r="K34" s="37"/>
    </row>
    <row r="35" spans="2:11" ht="12.75" customHeight="1" x14ac:dyDescent="0.2">
      <c r="B35" s="46" t="s">
        <v>27</v>
      </c>
      <c r="E35" s="47"/>
      <c r="G35" s="37"/>
      <c r="H35" s="37"/>
      <c r="I35" s="37"/>
      <c r="K35" s="37"/>
    </row>
    <row r="36" spans="2:11" ht="12.75" customHeight="1" x14ac:dyDescent="0.2">
      <c r="B36" s="46" t="s">
        <v>8</v>
      </c>
      <c r="E36" s="47"/>
      <c r="G36" s="37"/>
      <c r="H36" s="37"/>
      <c r="I36" s="37"/>
      <c r="K36" s="37"/>
    </row>
    <row r="37" spans="2:11" ht="12.75" customHeight="1" x14ac:dyDescent="0.2">
      <c r="B37" s="46" t="s">
        <v>408</v>
      </c>
      <c r="D37" s="61">
        <f>H14</f>
        <v>10</v>
      </c>
      <c r="E37" s="47"/>
      <c r="G37" s="37"/>
      <c r="H37" s="37"/>
      <c r="I37" s="37"/>
      <c r="K37" s="37"/>
    </row>
    <row r="38" spans="2:11" ht="12.75" customHeight="1" x14ac:dyDescent="0.2">
      <c r="B38" s="46" t="s">
        <v>409</v>
      </c>
      <c r="D38" s="61">
        <f>H15</f>
        <v>40</v>
      </c>
      <c r="E38" s="47"/>
      <c r="G38" s="37"/>
      <c r="H38" s="37"/>
      <c r="I38" s="37"/>
      <c r="K38" s="37"/>
    </row>
    <row r="39" spans="2:11" ht="12.75" customHeight="1" x14ac:dyDescent="0.2">
      <c r="B39" s="46" t="s">
        <v>410</v>
      </c>
      <c r="D39" s="61">
        <f>J15</f>
        <v>24.494897427831781</v>
      </c>
      <c r="E39" s="47"/>
      <c r="G39" s="37"/>
      <c r="H39" s="37"/>
      <c r="I39" s="37"/>
      <c r="K39" s="37"/>
    </row>
    <row r="40" spans="2:11" ht="12.75" customHeight="1" x14ac:dyDescent="0.2">
      <c r="B40" s="46" t="s">
        <v>411</v>
      </c>
      <c r="D40" s="61">
        <f>K15</f>
        <v>48.989794855663561</v>
      </c>
      <c r="E40" s="47"/>
      <c r="G40" s="37"/>
      <c r="H40" s="37"/>
      <c r="I40" s="37"/>
      <c r="K40" s="37"/>
    </row>
    <row r="41" spans="2:11" ht="12.75" customHeight="1" x14ac:dyDescent="0.2">
      <c r="B41" s="46" t="s">
        <v>9</v>
      </c>
      <c r="E41" s="47"/>
      <c r="G41" s="37"/>
      <c r="H41" s="37"/>
      <c r="I41" s="37"/>
      <c r="K41" s="37"/>
    </row>
    <row r="42" spans="2:11" ht="12.75" customHeight="1" x14ac:dyDescent="0.2">
      <c r="B42" s="46" t="s">
        <v>10</v>
      </c>
      <c r="E42" s="47"/>
      <c r="G42" s="37"/>
      <c r="H42" s="37"/>
      <c r="I42" s="37"/>
      <c r="K42" s="37"/>
    </row>
    <row r="43" spans="2:11" ht="12.75" customHeight="1" x14ac:dyDescent="0.2">
      <c r="B43" s="46" t="s">
        <v>322</v>
      </c>
      <c r="E43" s="47"/>
      <c r="G43" s="37"/>
      <c r="H43" s="37"/>
      <c r="I43" s="37"/>
      <c r="K43" s="37"/>
    </row>
    <row r="44" spans="2:11" ht="12.75" customHeight="1" thickBot="1" x14ac:dyDescent="0.25">
      <c r="B44" s="48" t="s">
        <v>12</v>
      </c>
      <c r="C44" s="49"/>
      <c r="D44" s="49"/>
      <c r="E44" s="50"/>
      <c r="G44" s="37"/>
      <c r="H44" s="37"/>
      <c r="I44" s="37"/>
      <c r="K44" s="37"/>
    </row>
    <row r="45" spans="2:11" ht="12.75" customHeight="1" x14ac:dyDescent="0.2">
      <c r="G45" s="37"/>
      <c r="H45" s="37"/>
      <c r="I45" s="37"/>
      <c r="K45" s="37"/>
    </row>
    <row r="46" spans="2:11" ht="12.75" customHeight="1" thickBot="1" x14ac:dyDescent="0.25">
      <c r="G46" s="37"/>
      <c r="H46" s="37"/>
      <c r="I46" s="37"/>
      <c r="K46" s="37"/>
    </row>
    <row r="47" spans="2:11" ht="12.75" customHeight="1" x14ac:dyDescent="0.2">
      <c r="B47" s="43" t="s">
        <v>23</v>
      </c>
      <c r="C47" s="44"/>
      <c r="D47" s="44"/>
      <c r="E47" s="45"/>
      <c r="F47" s="79"/>
      <c r="G47" s="37"/>
      <c r="H47" s="37"/>
      <c r="I47" s="37"/>
      <c r="K47" s="37"/>
    </row>
    <row r="48" spans="2:11" ht="12.75" customHeight="1" x14ac:dyDescent="0.2">
      <c r="B48" s="46" t="s">
        <v>8</v>
      </c>
      <c r="E48" s="47"/>
      <c r="F48" s="80"/>
      <c r="G48" s="37"/>
      <c r="H48" s="37"/>
      <c r="I48" s="37"/>
      <c r="K48" s="37"/>
    </row>
    <row r="49" spans="2:11" ht="12.75" customHeight="1" x14ac:dyDescent="0.2">
      <c r="B49" s="46" t="s">
        <v>7</v>
      </c>
      <c r="E49" s="47"/>
      <c r="F49" s="80"/>
      <c r="G49" s="37"/>
      <c r="H49" s="37"/>
      <c r="I49" s="37"/>
      <c r="K49" s="37"/>
    </row>
    <row r="50" spans="2:11" ht="12.75" customHeight="1" x14ac:dyDescent="0.2">
      <c r="B50" s="46" t="s">
        <v>41</v>
      </c>
      <c r="E50" s="47"/>
      <c r="F50" s="80"/>
      <c r="G50" s="37"/>
      <c r="H50" s="37"/>
      <c r="I50" s="37"/>
      <c r="K50" s="37"/>
    </row>
    <row r="51" spans="2:11" ht="12.75" customHeight="1" x14ac:dyDescent="0.2">
      <c r="B51" s="46" t="s">
        <v>8</v>
      </c>
      <c r="E51" s="47"/>
      <c r="F51" s="80"/>
      <c r="G51" s="37"/>
      <c r="H51" s="37"/>
      <c r="I51" s="37"/>
      <c r="K51" s="37"/>
    </row>
    <row r="52" spans="2:11" ht="12.75" customHeight="1" x14ac:dyDescent="0.2">
      <c r="B52" s="46" t="s">
        <v>71</v>
      </c>
      <c r="D52" s="61">
        <f>F14</f>
        <v>120</v>
      </c>
      <c r="E52" s="47"/>
      <c r="F52" s="80"/>
      <c r="G52" s="37"/>
      <c r="H52" s="37"/>
      <c r="I52" s="37"/>
      <c r="K52" s="37"/>
    </row>
    <row r="53" spans="2:11" ht="12.75" customHeight="1" x14ac:dyDescent="0.2">
      <c r="B53" s="46" t="s">
        <v>325</v>
      </c>
      <c r="D53" s="61">
        <f>(F15/F14)*G15</f>
        <v>0.2</v>
      </c>
      <c r="E53" s="47"/>
      <c r="F53" s="80"/>
      <c r="G53" s="37"/>
      <c r="H53" s="37"/>
      <c r="I53" s="37"/>
      <c r="K53" s="37"/>
    </row>
    <row r="54" spans="2:11" ht="12.75" customHeight="1" x14ac:dyDescent="0.2">
      <c r="B54" s="46" t="s">
        <v>73</v>
      </c>
      <c r="D54" s="61">
        <f>F15</f>
        <v>240</v>
      </c>
      <c r="E54" s="47"/>
      <c r="F54" s="80"/>
      <c r="G54" s="37"/>
      <c r="H54" s="37"/>
      <c r="I54" s="37"/>
      <c r="K54" s="37"/>
    </row>
    <row r="55" spans="2:11" ht="12.75" customHeight="1" x14ac:dyDescent="0.2">
      <c r="B55" s="46" t="s">
        <v>317</v>
      </c>
      <c r="D55" s="61">
        <f>G15</f>
        <v>0.1</v>
      </c>
      <c r="E55" s="47"/>
      <c r="F55" s="80"/>
      <c r="G55" s="37"/>
      <c r="H55" s="37"/>
      <c r="I55" s="37"/>
      <c r="K55" s="37"/>
    </row>
    <row r="56" spans="2:11" ht="12.75" customHeight="1" x14ac:dyDescent="0.2">
      <c r="B56" s="46" t="s">
        <v>326</v>
      </c>
      <c r="D56" s="61">
        <f>D52*D53</f>
        <v>24</v>
      </c>
      <c r="E56" s="47"/>
      <c r="F56" s="80"/>
      <c r="G56" s="37"/>
      <c r="H56" s="37"/>
      <c r="I56" s="37"/>
      <c r="K56" s="37"/>
    </row>
    <row r="57" spans="2:11" ht="12.75" customHeight="1" x14ac:dyDescent="0.2">
      <c r="B57" s="46" t="s">
        <v>8</v>
      </c>
      <c r="E57" s="47"/>
      <c r="F57" s="80"/>
      <c r="G57" s="37"/>
      <c r="H57" s="37"/>
      <c r="I57" s="37"/>
      <c r="K57" s="37"/>
    </row>
    <row r="58" spans="2:11" ht="12.75" customHeight="1" x14ac:dyDescent="0.2">
      <c r="B58" s="46" t="s">
        <v>22</v>
      </c>
      <c r="E58" s="47"/>
      <c r="F58" s="80"/>
      <c r="G58" s="37"/>
      <c r="H58" s="37"/>
      <c r="I58" s="37"/>
      <c r="J58" s="71">
        <f>F15/2</f>
        <v>120</v>
      </c>
      <c r="K58" s="37"/>
    </row>
    <row r="59" spans="2:11" ht="12.75" customHeight="1" x14ac:dyDescent="0.2">
      <c r="B59" s="46" t="s">
        <v>8</v>
      </c>
      <c r="E59" s="47"/>
      <c r="F59" s="80"/>
      <c r="G59" s="37"/>
      <c r="H59" s="37" t="s">
        <v>0</v>
      </c>
      <c r="I59" s="37"/>
      <c r="J59" s="37" t="s">
        <v>36</v>
      </c>
      <c r="K59" s="37" t="s">
        <v>33</v>
      </c>
    </row>
    <row r="60" spans="2:11" ht="12.75" customHeight="1" x14ac:dyDescent="0.2">
      <c r="B60" s="46" t="s">
        <v>408</v>
      </c>
      <c r="D60" s="61">
        <f>H14</f>
        <v>10</v>
      </c>
      <c r="E60" s="78"/>
      <c r="F60" s="80"/>
      <c r="G60" s="37"/>
      <c r="H60" s="37" t="s">
        <v>2</v>
      </c>
      <c r="I60" s="37"/>
      <c r="K60" s="37" t="s">
        <v>34</v>
      </c>
    </row>
    <row r="61" spans="2:11" ht="12.75" customHeight="1" x14ac:dyDescent="0.2">
      <c r="B61" s="46" t="s">
        <v>412</v>
      </c>
      <c r="D61" s="83">
        <f>H15/4</f>
        <v>10</v>
      </c>
      <c r="E61" s="47"/>
      <c r="F61" s="81">
        <f>H15</f>
        <v>40</v>
      </c>
      <c r="G61" s="37"/>
      <c r="H61" s="71">
        <f>F14</f>
        <v>120</v>
      </c>
      <c r="I61" s="37"/>
      <c r="K61" s="71">
        <f>F15</f>
        <v>240</v>
      </c>
    </row>
    <row r="62" spans="2:11" ht="12.75" customHeight="1" x14ac:dyDescent="0.2">
      <c r="B62" s="46" t="s">
        <v>413</v>
      </c>
      <c r="D62" s="83">
        <f>H15/4</f>
        <v>10</v>
      </c>
      <c r="E62" s="47"/>
      <c r="F62" s="81">
        <f>H15</f>
        <v>40</v>
      </c>
      <c r="G62" s="37"/>
      <c r="H62" s="37"/>
      <c r="I62" s="37"/>
      <c r="J62" s="71">
        <f>F15/2</f>
        <v>120</v>
      </c>
      <c r="K62" s="37" t="s">
        <v>35</v>
      </c>
    </row>
    <row r="63" spans="2:11" ht="12.75" customHeight="1" x14ac:dyDescent="0.2">
      <c r="B63" s="46" t="s">
        <v>410</v>
      </c>
      <c r="D63" s="61">
        <f>J15</f>
        <v>24.494897427831781</v>
      </c>
      <c r="E63" s="47"/>
      <c r="F63" s="80"/>
      <c r="G63" s="37"/>
      <c r="H63" s="37"/>
      <c r="I63" s="37"/>
      <c r="J63" s="37" t="s">
        <v>36</v>
      </c>
      <c r="K63" s="37"/>
    </row>
    <row r="64" spans="2:11" ht="12.75" customHeight="1" x14ac:dyDescent="0.2">
      <c r="B64" s="46" t="s">
        <v>411</v>
      </c>
      <c r="D64" s="61">
        <f>K20</f>
        <v>10.954451150103322</v>
      </c>
      <c r="E64" s="47"/>
      <c r="F64" s="80"/>
      <c r="G64" s="37"/>
      <c r="H64" s="37"/>
      <c r="I64" s="37"/>
      <c r="K64" s="37"/>
    </row>
    <row r="65" spans="2:11" ht="12.75" customHeight="1" x14ac:dyDescent="0.2">
      <c r="B65" s="46" t="s">
        <v>414</v>
      </c>
      <c r="D65" s="61">
        <f>K20</f>
        <v>10.954451150103322</v>
      </c>
      <c r="E65" s="47"/>
      <c r="F65" s="80"/>
      <c r="G65" s="37"/>
      <c r="H65" s="37"/>
      <c r="I65" s="37"/>
      <c r="K65" s="37"/>
    </row>
    <row r="66" spans="2:11" ht="12.75" customHeight="1" x14ac:dyDescent="0.2">
      <c r="B66" s="46" t="s">
        <v>9</v>
      </c>
      <c r="E66" s="47"/>
      <c r="F66" s="80"/>
      <c r="G66" s="37"/>
      <c r="H66" s="37"/>
      <c r="I66" s="37"/>
      <c r="K66" s="37"/>
    </row>
    <row r="67" spans="2:11" ht="12.75" customHeight="1" x14ac:dyDescent="0.2">
      <c r="B67" s="46" t="s">
        <v>16</v>
      </c>
      <c r="E67" s="47"/>
      <c r="F67" s="80"/>
      <c r="G67" s="37"/>
      <c r="H67" s="37"/>
      <c r="I67" s="37"/>
      <c r="K67" s="37"/>
    </row>
    <row r="68" spans="2:11" ht="12.75" customHeight="1" x14ac:dyDescent="0.2">
      <c r="B68" s="46" t="s">
        <v>17</v>
      </c>
      <c r="E68" s="47"/>
      <c r="F68" s="80"/>
      <c r="G68" s="37"/>
      <c r="H68" s="37"/>
      <c r="I68" s="37"/>
      <c r="K68" s="37"/>
    </row>
    <row r="69" spans="2:11" ht="12.75" customHeight="1" x14ac:dyDescent="0.2">
      <c r="B69" s="46" t="s">
        <v>322</v>
      </c>
      <c r="E69" s="47"/>
      <c r="F69" s="80"/>
      <c r="G69" s="37"/>
      <c r="H69" s="37"/>
      <c r="I69" s="37"/>
      <c r="K69" s="37"/>
    </row>
    <row r="70" spans="2:11" ht="12.75" customHeight="1" x14ac:dyDescent="0.2">
      <c r="B70" s="46" t="s">
        <v>323</v>
      </c>
      <c r="E70" s="47"/>
      <c r="F70" s="80"/>
      <c r="G70" s="37"/>
      <c r="H70" s="37"/>
      <c r="I70" s="37"/>
      <c r="K70" s="37"/>
    </row>
    <row r="71" spans="2:11" ht="12.75" customHeight="1" x14ac:dyDescent="0.2">
      <c r="B71" s="46" t="s">
        <v>324</v>
      </c>
      <c r="E71" s="47"/>
      <c r="F71" s="80"/>
      <c r="G71" s="37"/>
      <c r="H71" s="37"/>
      <c r="I71" s="37"/>
      <c r="K71" s="37"/>
    </row>
    <row r="72" spans="2:11" ht="12.75" customHeight="1" thickBot="1" x14ac:dyDescent="0.25">
      <c r="B72" s="48" t="s">
        <v>12</v>
      </c>
      <c r="C72" s="49"/>
      <c r="D72" s="49"/>
      <c r="E72" s="50"/>
      <c r="F72" s="82"/>
      <c r="G72" s="37"/>
      <c r="H72" s="37"/>
      <c r="I72" s="37"/>
      <c r="K72" s="37"/>
    </row>
    <row r="73" spans="2:11" ht="12.75" customHeight="1" x14ac:dyDescent="0.2">
      <c r="G73" s="37"/>
      <c r="H73" s="37"/>
      <c r="I73" s="37"/>
      <c r="K73" s="37"/>
    </row>
    <row r="74" spans="2:11" ht="12.75" customHeight="1" thickBot="1" x14ac:dyDescent="0.25">
      <c r="G74" s="37"/>
      <c r="H74" s="37"/>
      <c r="I74" s="37"/>
      <c r="K74" s="37"/>
    </row>
    <row r="75" spans="2:11" ht="12.75" customHeight="1" x14ac:dyDescent="0.2">
      <c r="B75" s="43" t="s">
        <v>28</v>
      </c>
      <c r="C75" s="44"/>
      <c r="D75" s="44"/>
      <c r="E75" s="45"/>
      <c r="G75" s="37"/>
      <c r="H75" s="37"/>
      <c r="I75" s="37"/>
      <c r="K75" s="37"/>
    </row>
    <row r="76" spans="2:11" ht="12.75" customHeight="1" x14ac:dyDescent="0.2">
      <c r="B76" s="46" t="s">
        <v>8</v>
      </c>
      <c r="E76" s="47"/>
      <c r="G76" s="37"/>
      <c r="H76" s="37"/>
      <c r="I76" s="37"/>
      <c r="K76" s="37"/>
    </row>
    <row r="77" spans="2:11" ht="12.75" customHeight="1" x14ac:dyDescent="0.2">
      <c r="B77" s="46" t="s">
        <v>7</v>
      </c>
      <c r="E77" s="47"/>
      <c r="G77" s="37"/>
      <c r="H77" s="37"/>
      <c r="I77" s="37"/>
      <c r="K77" s="37"/>
    </row>
    <row r="78" spans="2:11" ht="12.75" customHeight="1" x14ac:dyDescent="0.2">
      <c r="B78" s="46" t="s">
        <v>41</v>
      </c>
      <c r="E78" s="47"/>
      <c r="G78" s="37"/>
      <c r="H78" s="37"/>
      <c r="I78" s="37"/>
      <c r="K78" s="37"/>
    </row>
    <row r="79" spans="2:11" ht="12.75" customHeight="1" x14ac:dyDescent="0.2">
      <c r="B79" s="46" t="s">
        <v>8</v>
      </c>
      <c r="E79" s="47"/>
      <c r="G79" s="37"/>
      <c r="H79" s="37"/>
      <c r="I79" s="37"/>
      <c r="K79" s="37"/>
    </row>
    <row r="80" spans="2:11" ht="12.75" customHeight="1" x14ac:dyDescent="0.2">
      <c r="B80" s="46" t="s">
        <v>71</v>
      </c>
      <c r="D80" s="61">
        <f>F14</f>
        <v>120</v>
      </c>
      <c r="E80" s="47"/>
      <c r="G80" s="37"/>
      <c r="H80" s="37"/>
      <c r="I80" s="37"/>
      <c r="K80" s="37"/>
    </row>
    <row r="81" spans="2:11" ht="12.75" customHeight="1" x14ac:dyDescent="0.2">
      <c r="B81" s="46" t="s">
        <v>325</v>
      </c>
      <c r="D81" s="61">
        <f>((F15/F14)*G15)+((F16/F14)*G16)</f>
        <v>0.22000000000000003</v>
      </c>
      <c r="E81" s="47"/>
      <c r="G81" s="37"/>
      <c r="H81" s="37"/>
      <c r="I81" s="37"/>
      <c r="K81" s="37"/>
    </row>
    <row r="82" spans="2:11" ht="12.75" customHeight="1" x14ac:dyDescent="0.2">
      <c r="B82" s="46" t="s">
        <v>76</v>
      </c>
      <c r="D82" s="61">
        <f>F15</f>
        <v>240</v>
      </c>
      <c r="E82" s="47"/>
      <c r="G82" s="37"/>
      <c r="H82" s="37"/>
      <c r="I82" s="37"/>
      <c r="K82" s="37"/>
    </row>
    <row r="83" spans="2:11" ht="12.75" customHeight="1" x14ac:dyDescent="0.2">
      <c r="B83" s="46" t="s">
        <v>318</v>
      </c>
      <c r="D83" s="61">
        <f>G15</f>
        <v>0.1</v>
      </c>
      <c r="E83" s="47"/>
      <c r="G83" s="37"/>
      <c r="H83" s="37"/>
      <c r="I83" s="37"/>
      <c r="K83" s="37"/>
    </row>
    <row r="84" spans="2:11" ht="12.75" customHeight="1" x14ac:dyDescent="0.2">
      <c r="B84" s="46" t="s">
        <v>75</v>
      </c>
      <c r="D84" s="61">
        <f>F16</f>
        <v>24</v>
      </c>
      <c r="E84" s="47"/>
      <c r="G84" s="37"/>
      <c r="H84" s="37"/>
      <c r="I84" s="37"/>
      <c r="J84" s="37" t="s">
        <v>3</v>
      </c>
      <c r="K84" s="37"/>
    </row>
    <row r="85" spans="2:11" ht="12.75" customHeight="1" x14ac:dyDescent="0.2">
      <c r="B85" s="46" t="s">
        <v>319</v>
      </c>
      <c r="D85" s="61">
        <f>G16</f>
        <v>0.1</v>
      </c>
      <c r="E85" s="47"/>
      <c r="G85" s="37"/>
      <c r="H85" s="37"/>
      <c r="I85" s="37"/>
      <c r="J85" s="37" t="s">
        <v>2</v>
      </c>
      <c r="K85" s="37"/>
    </row>
    <row r="86" spans="2:11" ht="12.75" customHeight="1" x14ac:dyDescent="0.2">
      <c r="B86" s="46" t="s">
        <v>326</v>
      </c>
      <c r="D86" s="61">
        <f>D80*D81</f>
        <v>26.400000000000002</v>
      </c>
      <c r="E86" s="47"/>
      <c r="G86" s="37"/>
      <c r="H86" s="37" t="s">
        <v>0</v>
      </c>
      <c r="I86" s="37"/>
      <c r="J86" s="71">
        <f>F15</f>
        <v>240</v>
      </c>
      <c r="K86" s="37"/>
    </row>
    <row r="87" spans="2:11" ht="12.75" customHeight="1" x14ac:dyDescent="0.2">
      <c r="B87" s="46" t="s">
        <v>8</v>
      </c>
      <c r="E87" s="47"/>
      <c r="G87" s="37"/>
      <c r="H87" s="37" t="s">
        <v>2</v>
      </c>
      <c r="I87" s="37"/>
      <c r="K87" s="37"/>
    </row>
    <row r="88" spans="2:11" ht="12.75" customHeight="1" x14ac:dyDescent="0.2">
      <c r="B88" s="46" t="s">
        <v>19</v>
      </c>
      <c r="E88" s="47"/>
      <c r="G88" s="37"/>
      <c r="H88" s="71">
        <f>F14</f>
        <v>120</v>
      </c>
      <c r="I88" s="37"/>
      <c r="K88" s="37"/>
    </row>
    <row r="89" spans="2:11" ht="12.75" customHeight="1" x14ac:dyDescent="0.2">
      <c r="B89" s="46" t="s">
        <v>8</v>
      </c>
      <c r="E89" s="47"/>
      <c r="G89" s="37"/>
      <c r="H89" s="37"/>
      <c r="I89" s="37"/>
      <c r="J89" s="37" t="s">
        <v>4</v>
      </c>
      <c r="K89" s="37"/>
    </row>
    <row r="90" spans="2:11" ht="12.75" customHeight="1" x14ac:dyDescent="0.2">
      <c r="B90" s="46" t="s">
        <v>408</v>
      </c>
      <c r="D90" s="61">
        <f>H14</f>
        <v>10</v>
      </c>
      <c r="E90" s="47"/>
      <c r="G90" s="37"/>
      <c r="H90" s="37"/>
      <c r="I90" s="37"/>
      <c r="J90" s="37" t="s">
        <v>2</v>
      </c>
      <c r="K90" s="37"/>
    </row>
    <row r="91" spans="2:11" ht="12.75" customHeight="1" x14ac:dyDescent="0.2">
      <c r="B91" s="46" t="s">
        <v>409</v>
      </c>
      <c r="D91" s="61">
        <f>H15</f>
        <v>40</v>
      </c>
      <c r="E91" s="47"/>
      <c r="G91" s="37"/>
      <c r="H91" s="37"/>
      <c r="I91" s="37"/>
      <c r="J91" s="71">
        <f>F16</f>
        <v>24</v>
      </c>
      <c r="K91" s="37"/>
    </row>
    <row r="92" spans="2:11" ht="12.75" customHeight="1" x14ac:dyDescent="0.2">
      <c r="B92" s="46" t="s">
        <v>415</v>
      </c>
      <c r="D92" s="61">
        <f>H16</f>
        <v>0.40000000000000008</v>
      </c>
      <c r="E92" s="47"/>
      <c r="G92" s="37"/>
      <c r="H92" s="37"/>
      <c r="I92" s="37"/>
      <c r="K92" s="37"/>
    </row>
    <row r="93" spans="2:11" ht="12.75" customHeight="1" x14ac:dyDescent="0.2">
      <c r="B93" s="46" t="s">
        <v>410</v>
      </c>
      <c r="D93" s="61">
        <f>J16</f>
        <v>23.354968324845686</v>
      </c>
      <c r="E93" s="47"/>
      <c r="G93" s="37"/>
      <c r="H93" s="37"/>
      <c r="I93" s="37"/>
      <c r="K93" s="37"/>
    </row>
    <row r="94" spans="2:11" ht="12.75" customHeight="1" x14ac:dyDescent="0.2">
      <c r="B94" s="46" t="s">
        <v>411</v>
      </c>
      <c r="D94" s="61">
        <f>K16</f>
        <v>15.491933384829668</v>
      </c>
      <c r="E94" s="47"/>
      <c r="G94" s="37"/>
      <c r="H94" s="37"/>
      <c r="I94" s="37"/>
      <c r="K94" s="37"/>
    </row>
    <row r="95" spans="2:11" ht="12.75" customHeight="1" x14ac:dyDescent="0.2">
      <c r="B95" s="46" t="s">
        <v>416</v>
      </c>
      <c r="D95" s="61">
        <f>K17</f>
        <v>15.491933384829668</v>
      </c>
      <c r="E95" s="47"/>
      <c r="G95" s="37"/>
      <c r="H95" s="37"/>
      <c r="I95" s="37"/>
      <c r="K95" s="37"/>
    </row>
    <row r="96" spans="2:11" ht="12.75" customHeight="1" x14ac:dyDescent="0.2">
      <c r="B96" s="46" t="s">
        <v>9</v>
      </c>
      <c r="E96" s="47"/>
      <c r="G96" s="37"/>
      <c r="H96" s="37"/>
      <c r="I96" s="37"/>
      <c r="K96" s="37"/>
    </row>
    <row r="97" spans="2:11" ht="12.75" customHeight="1" x14ac:dyDescent="0.2">
      <c r="B97" s="46" t="s">
        <v>10</v>
      </c>
      <c r="E97" s="47"/>
      <c r="G97" s="37"/>
      <c r="H97" s="37"/>
      <c r="I97" s="37"/>
      <c r="K97" s="37"/>
    </row>
    <row r="98" spans="2:11" ht="12.75" customHeight="1" x14ac:dyDescent="0.2">
      <c r="B98" s="46" t="s">
        <v>11</v>
      </c>
      <c r="E98" s="47"/>
      <c r="G98" s="37"/>
      <c r="H98" s="37"/>
      <c r="I98" s="37"/>
      <c r="K98" s="37"/>
    </row>
    <row r="99" spans="2:11" ht="12.75" customHeight="1" x14ac:dyDescent="0.2">
      <c r="B99" s="46" t="s">
        <v>322</v>
      </c>
      <c r="E99" s="47"/>
      <c r="G99" s="37"/>
      <c r="H99" s="37"/>
      <c r="I99" s="37"/>
      <c r="K99" s="37"/>
    </row>
    <row r="100" spans="2:11" ht="12.75" customHeight="1" x14ac:dyDescent="0.2">
      <c r="B100" s="46" t="s">
        <v>323</v>
      </c>
      <c r="E100" s="47"/>
      <c r="G100" s="37"/>
      <c r="H100" s="37"/>
      <c r="I100" s="37"/>
      <c r="K100" s="37"/>
    </row>
    <row r="101" spans="2:11" ht="12.75" customHeight="1" x14ac:dyDescent="0.2">
      <c r="B101" s="46" t="s">
        <v>324</v>
      </c>
      <c r="E101" s="47"/>
      <c r="G101" s="37"/>
      <c r="H101" s="37"/>
      <c r="I101" s="37"/>
      <c r="K101" s="37"/>
    </row>
    <row r="102" spans="2:11" ht="12.75" customHeight="1" thickBot="1" x14ac:dyDescent="0.25">
      <c r="B102" s="48" t="s">
        <v>12</v>
      </c>
      <c r="C102" s="49"/>
      <c r="D102" s="49"/>
      <c r="E102" s="50"/>
      <c r="G102" s="37"/>
      <c r="H102" s="37"/>
      <c r="I102" s="37"/>
      <c r="K102" s="37"/>
    </row>
    <row r="103" spans="2:11" ht="12.75" customHeight="1" x14ac:dyDescent="0.2">
      <c r="G103" s="37"/>
      <c r="H103" s="37"/>
      <c r="I103" s="37"/>
      <c r="K103" s="37"/>
    </row>
    <row r="104" spans="2:11" ht="12.75" customHeight="1" thickBot="1" x14ac:dyDescent="0.25">
      <c r="G104" s="37"/>
      <c r="H104" s="37"/>
      <c r="I104" s="37"/>
      <c r="K104" s="37"/>
    </row>
    <row r="105" spans="2:11" ht="12.75" customHeight="1" x14ac:dyDescent="0.2">
      <c r="B105" s="43" t="s">
        <v>14</v>
      </c>
      <c r="C105" s="44"/>
      <c r="D105" s="44"/>
      <c r="E105" s="45"/>
      <c r="F105" s="79"/>
      <c r="G105" s="37"/>
      <c r="H105" s="37"/>
      <c r="I105" s="37"/>
      <c r="K105" s="37"/>
    </row>
    <row r="106" spans="2:11" ht="12.75" customHeight="1" x14ac:dyDescent="0.2">
      <c r="B106" s="46" t="s">
        <v>8</v>
      </c>
      <c r="E106" s="47"/>
      <c r="F106" s="80"/>
      <c r="G106" s="37"/>
      <c r="H106" s="37"/>
      <c r="I106" s="37"/>
      <c r="K106" s="37"/>
    </row>
    <row r="107" spans="2:11" ht="12.75" customHeight="1" x14ac:dyDescent="0.2">
      <c r="B107" s="46" t="s">
        <v>7</v>
      </c>
      <c r="E107" s="47"/>
      <c r="F107" s="80"/>
      <c r="G107" s="37"/>
      <c r="H107" s="37"/>
      <c r="I107" s="37"/>
      <c r="K107" s="37"/>
    </row>
    <row r="108" spans="2:11" ht="12.75" customHeight="1" x14ac:dyDescent="0.2">
      <c r="B108" s="46" t="s">
        <v>41</v>
      </c>
      <c r="E108" s="47"/>
      <c r="F108" s="80"/>
      <c r="G108" s="37"/>
      <c r="H108" s="37"/>
      <c r="I108" s="37"/>
      <c r="K108" s="37"/>
    </row>
    <row r="109" spans="2:11" ht="12.75" customHeight="1" x14ac:dyDescent="0.2">
      <c r="B109" s="46" t="s">
        <v>8</v>
      </c>
      <c r="E109" s="47"/>
      <c r="F109" s="80"/>
      <c r="G109" s="37"/>
      <c r="H109" s="37"/>
      <c r="I109" s="37"/>
      <c r="K109" s="37"/>
    </row>
    <row r="110" spans="2:11" ht="12.75" customHeight="1" x14ac:dyDescent="0.2">
      <c r="B110" s="46" t="s">
        <v>71</v>
      </c>
      <c r="D110" s="61">
        <f>F14</f>
        <v>120</v>
      </c>
      <c r="E110" s="47"/>
      <c r="F110" s="80"/>
      <c r="G110" s="37"/>
      <c r="H110" s="37"/>
      <c r="I110" s="37"/>
      <c r="K110" s="37"/>
    </row>
    <row r="111" spans="2:11" ht="12.75" customHeight="1" x14ac:dyDescent="0.2">
      <c r="B111" s="46" t="s">
        <v>325</v>
      </c>
      <c r="D111" s="61">
        <f>((F15/F14)*G15)+((F16/F14)*G16)</f>
        <v>0.22000000000000003</v>
      </c>
      <c r="E111" s="47"/>
      <c r="F111" s="80"/>
      <c r="G111" s="37"/>
      <c r="H111" s="37"/>
      <c r="I111" s="37"/>
      <c r="K111" s="37"/>
    </row>
    <row r="112" spans="2:11" ht="12.75" customHeight="1" x14ac:dyDescent="0.2">
      <c r="B112" s="46" t="s">
        <v>74</v>
      </c>
      <c r="D112" s="61">
        <f>F15</f>
        <v>240</v>
      </c>
      <c r="E112" s="47"/>
      <c r="F112" s="80"/>
      <c r="G112" s="37"/>
      <c r="H112" s="37"/>
      <c r="I112" s="37"/>
      <c r="K112" s="37"/>
    </row>
    <row r="113" spans="2:11" ht="12.75" customHeight="1" x14ac:dyDescent="0.2">
      <c r="B113" s="46" t="s">
        <v>320</v>
      </c>
      <c r="D113" s="61">
        <f>G15</f>
        <v>0.1</v>
      </c>
      <c r="E113" s="47"/>
      <c r="F113" s="80"/>
      <c r="G113" s="37"/>
      <c r="H113" s="37"/>
      <c r="I113" s="37"/>
      <c r="K113" s="37"/>
    </row>
    <row r="114" spans="2:11" ht="12.75" customHeight="1" x14ac:dyDescent="0.2">
      <c r="B114" s="46" t="s">
        <v>75</v>
      </c>
      <c r="D114" s="61">
        <f>F16</f>
        <v>24</v>
      </c>
      <c r="E114" s="47"/>
      <c r="F114" s="80"/>
      <c r="G114" s="37"/>
      <c r="H114" s="37"/>
      <c r="I114" s="37"/>
      <c r="J114" s="71">
        <f>F15/2</f>
        <v>120</v>
      </c>
      <c r="K114" s="37"/>
    </row>
    <row r="115" spans="2:11" ht="12.75" customHeight="1" x14ac:dyDescent="0.2">
      <c r="B115" s="46" t="s">
        <v>319</v>
      </c>
      <c r="D115" s="61">
        <f>G16</f>
        <v>0.1</v>
      </c>
      <c r="E115" s="47"/>
      <c r="F115" s="80"/>
      <c r="G115" s="37"/>
      <c r="H115" s="37"/>
      <c r="I115" s="37"/>
      <c r="J115" s="37" t="s">
        <v>36</v>
      </c>
      <c r="K115" s="37" t="s">
        <v>3</v>
      </c>
    </row>
    <row r="116" spans="2:11" ht="12.75" customHeight="1" x14ac:dyDescent="0.2">
      <c r="B116" s="46" t="s">
        <v>326</v>
      </c>
      <c r="D116" s="61">
        <f>D110*D111</f>
        <v>26.400000000000002</v>
      </c>
      <c r="E116" s="47"/>
      <c r="F116" s="80"/>
      <c r="G116" s="37"/>
      <c r="H116" s="37"/>
      <c r="I116" s="37"/>
      <c r="K116" s="37" t="s">
        <v>34</v>
      </c>
    </row>
    <row r="117" spans="2:11" ht="12.75" customHeight="1" x14ac:dyDescent="0.2">
      <c r="B117" s="46" t="s">
        <v>8</v>
      </c>
      <c r="E117" s="47"/>
      <c r="F117" s="80"/>
      <c r="G117" s="37"/>
      <c r="H117" s="37"/>
      <c r="I117" s="37"/>
      <c r="J117" s="71">
        <f>F15/2</f>
        <v>120</v>
      </c>
      <c r="K117" s="71">
        <f>F15</f>
        <v>240</v>
      </c>
    </row>
    <row r="118" spans="2:11" ht="12.75" customHeight="1" x14ac:dyDescent="0.2">
      <c r="B118" s="46" t="s">
        <v>15</v>
      </c>
      <c r="E118" s="47"/>
      <c r="F118" s="80"/>
      <c r="G118" s="37"/>
      <c r="H118" s="37" t="s">
        <v>0</v>
      </c>
      <c r="I118" s="37"/>
      <c r="J118" s="37" t="s">
        <v>36</v>
      </c>
      <c r="K118" s="37" t="s">
        <v>35</v>
      </c>
    </row>
    <row r="119" spans="2:11" ht="12.75" customHeight="1" x14ac:dyDescent="0.2">
      <c r="B119" s="46" t="s">
        <v>8</v>
      </c>
      <c r="E119" s="47"/>
      <c r="F119" s="80"/>
      <c r="G119" s="37"/>
      <c r="H119" s="37" t="s">
        <v>2</v>
      </c>
      <c r="I119" s="37"/>
      <c r="K119" s="37"/>
    </row>
    <row r="120" spans="2:11" ht="12.75" customHeight="1" x14ac:dyDescent="0.2">
      <c r="B120" s="46" t="s">
        <v>408</v>
      </c>
      <c r="D120" s="61">
        <f>H14</f>
        <v>10</v>
      </c>
      <c r="E120" s="47"/>
      <c r="F120" s="80"/>
      <c r="G120" s="37"/>
      <c r="H120" s="71">
        <f>F14</f>
        <v>120</v>
      </c>
      <c r="I120" s="37"/>
      <c r="K120" s="37"/>
    </row>
    <row r="121" spans="2:11" ht="12.75" customHeight="1" x14ac:dyDescent="0.2">
      <c r="B121" s="46" t="s">
        <v>412</v>
      </c>
      <c r="D121" s="83">
        <f>H15/4</f>
        <v>10</v>
      </c>
      <c r="E121" s="47"/>
      <c r="F121" s="81">
        <f>H15</f>
        <v>40</v>
      </c>
      <c r="G121" s="37"/>
      <c r="H121" s="37"/>
      <c r="I121" s="37"/>
      <c r="K121" s="37" t="s">
        <v>4</v>
      </c>
    </row>
    <row r="122" spans="2:11" ht="12.75" customHeight="1" x14ac:dyDescent="0.2">
      <c r="B122" s="46" t="s">
        <v>413</v>
      </c>
      <c r="D122" s="83">
        <f>H15/4</f>
        <v>10</v>
      </c>
      <c r="E122" s="47"/>
      <c r="F122" s="81">
        <f>H15</f>
        <v>40</v>
      </c>
      <c r="G122" s="37"/>
      <c r="H122" s="37"/>
      <c r="I122" s="37"/>
      <c r="K122" s="37" t="s">
        <v>34</v>
      </c>
    </row>
    <row r="123" spans="2:11" ht="12.75" customHeight="1" x14ac:dyDescent="0.2">
      <c r="B123" s="46" t="s">
        <v>417</v>
      </c>
      <c r="D123" s="61">
        <f>H16</f>
        <v>0.40000000000000008</v>
      </c>
      <c r="E123" s="47"/>
      <c r="F123" s="80"/>
      <c r="G123" s="37"/>
      <c r="H123" s="37"/>
      <c r="I123" s="37"/>
      <c r="K123" s="71">
        <f>F16</f>
        <v>24</v>
      </c>
    </row>
    <row r="124" spans="2:11" ht="12.75" customHeight="1" x14ac:dyDescent="0.2">
      <c r="B124" s="46" t="s">
        <v>410</v>
      </c>
      <c r="D124" s="61">
        <f>J16</f>
        <v>23.354968324845686</v>
      </c>
      <c r="E124" s="47"/>
      <c r="F124" s="80"/>
      <c r="G124" s="37"/>
      <c r="H124" s="37"/>
      <c r="I124" s="37"/>
      <c r="K124" s="37"/>
    </row>
    <row r="125" spans="2:11" ht="12.75" customHeight="1" x14ac:dyDescent="0.2">
      <c r="B125" s="46" t="s">
        <v>411</v>
      </c>
      <c r="D125" s="61">
        <f>K20</f>
        <v>10.954451150103322</v>
      </c>
      <c r="E125" s="47"/>
      <c r="F125" s="80"/>
      <c r="G125" s="37"/>
      <c r="H125" s="37"/>
      <c r="I125" s="37"/>
      <c r="K125" s="37"/>
    </row>
    <row r="126" spans="2:11" ht="12.75" customHeight="1" x14ac:dyDescent="0.2">
      <c r="B126" s="46" t="s">
        <v>414</v>
      </c>
      <c r="D126" s="61">
        <f>K20</f>
        <v>10.954451150103322</v>
      </c>
      <c r="E126" s="47"/>
      <c r="F126" s="80"/>
      <c r="G126" s="37"/>
      <c r="H126" s="37"/>
      <c r="I126" s="37"/>
      <c r="K126" s="37"/>
    </row>
    <row r="127" spans="2:11" ht="12.75" customHeight="1" x14ac:dyDescent="0.2">
      <c r="B127" s="46" t="s">
        <v>418</v>
      </c>
      <c r="D127" s="61">
        <f>K16</f>
        <v>15.491933384829668</v>
      </c>
      <c r="E127" s="47"/>
      <c r="F127" s="80"/>
      <c r="G127" s="37"/>
      <c r="H127" s="37"/>
      <c r="I127" s="37"/>
      <c r="K127" s="37"/>
    </row>
    <row r="128" spans="2:11" ht="12.75" customHeight="1" x14ac:dyDescent="0.2">
      <c r="B128" s="46" t="s">
        <v>9</v>
      </c>
      <c r="E128" s="47"/>
      <c r="F128" s="80"/>
      <c r="G128" s="37"/>
      <c r="H128" s="37"/>
      <c r="I128" s="37"/>
      <c r="K128" s="37"/>
    </row>
    <row r="129" spans="2:11" ht="12.75" customHeight="1" x14ac:dyDescent="0.2">
      <c r="B129" s="46" t="s">
        <v>16</v>
      </c>
      <c r="E129" s="47"/>
      <c r="F129" s="80"/>
      <c r="G129" s="37"/>
      <c r="H129" s="37"/>
      <c r="I129" s="37"/>
      <c r="K129" s="37"/>
    </row>
    <row r="130" spans="2:11" ht="12.75" customHeight="1" x14ac:dyDescent="0.2">
      <c r="B130" s="46" t="s">
        <v>17</v>
      </c>
      <c r="E130" s="47"/>
      <c r="F130" s="80"/>
      <c r="G130" s="37"/>
      <c r="H130" s="37"/>
      <c r="I130" s="37"/>
      <c r="K130" s="37"/>
    </row>
    <row r="131" spans="2:11" ht="12.75" customHeight="1" x14ac:dyDescent="0.2">
      <c r="B131" s="46" t="s">
        <v>18</v>
      </c>
      <c r="E131" s="47"/>
      <c r="F131" s="80"/>
      <c r="G131" s="37"/>
      <c r="H131" s="37"/>
      <c r="I131" s="37"/>
      <c r="K131" s="37"/>
    </row>
    <row r="132" spans="2:11" ht="12.75" customHeight="1" x14ac:dyDescent="0.2">
      <c r="B132" s="46" t="s">
        <v>322</v>
      </c>
      <c r="E132" s="47"/>
      <c r="F132" s="80"/>
      <c r="G132" s="37"/>
      <c r="H132" s="37"/>
      <c r="I132" s="37"/>
      <c r="K132" s="37"/>
    </row>
    <row r="133" spans="2:11" ht="12.75" customHeight="1" x14ac:dyDescent="0.2">
      <c r="B133" s="46" t="s">
        <v>323</v>
      </c>
      <c r="E133" s="47"/>
      <c r="F133" s="80"/>
      <c r="G133" s="37"/>
      <c r="H133" s="37"/>
      <c r="I133" s="37"/>
      <c r="K133" s="37"/>
    </row>
    <row r="134" spans="2:11" ht="12.75" customHeight="1" x14ac:dyDescent="0.2">
      <c r="B134" s="46" t="s">
        <v>335</v>
      </c>
      <c r="E134" s="47"/>
      <c r="F134" s="80"/>
      <c r="G134" s="37"/>
      <c r="H134" s="37"/>
      <c r="I134" s="37"/>
      <c r="K134" s="37"/>
    </row>
    <row r="135" spans="2:11" ht="12.75" customHeight="1" x14ac:dyDescent="0.2">
      <c r="B135" s="46" t="s">
        <v>324</v>
      </c>
      <c r="E135" s="47"/>
      <c r="F135" s="80"/>
      <c r="G135" s="37"/>
      <c r="H135" s="37"/>
      <c r="I135" s="37"/>
      <c r="K135" s="37"/>
    </row>
    <row r="136" spans="2:11" ht="12.75" customHeight="1" x14ac:dyDescent="0.2">
      <c r="B136" s="46" t="s">
        <v>336</v>
      </c>
      <c r="E136" s="47"/>
      <c r="F136" s="80"/>
      <c r="G136" s="37"/>
      <c r="H136" s="37"/>
      <c r="I136" s="37"/>
      <c r="K136" s="37"/>
    </row>
    <row r="137" spans="2:11" ht="12.75" customHeight="1" x14ac:dyDescent="0.2">
      <c r="B137" s="46" t="s">
        <v>337</v>
      </c>
      <c r="E137" s="47"/>
      <c r="F137" s="80"/>
      <c r="G137" s="37"/>
      <c r="H137" s="37"/>
      <c r="I137" s="37"/>
      <c r="K137" s="37"/>
    </row>
    <row r="138" spans="2:11" ht="12.75" customHeight="1" thickBot="1" x14ac:dyDescent="0.25">
      <c r="B138" s="48" t="s">
        <v>12</v>
      </c>
      <c r="C138" s="49"/>
      <c r="D138" s="49"/>
      <c r="E138" s="50"/>
      <c r="F138" s="82"/>
      <c r="G138" s="37"/>
      <c r="H138" s="37"/>
      <c r="I138" s="37"/>
      <c r="K138" s="37"/>
    </row>
    <row r="139" spans="2:11" ht="12.75" customHeight="1" x14ac:dyDescent="0.2">
      <c r="G139" s="37"/>
      <c r="H139" s="37"/>
      <c r="I139" s="37"/>
      <c r="K139" s="37"/>
    </row>
    <row r="140" spans="2:11" ht="12.75" customHeight="1" thickBot="1" x14ac:dyDescent="0.25">
      <c r="G140" s="37"/>
      <c r="H140" s="37"/>
      <c r="I140" s="37"/>
      <c r="K140" s="37"/>
    </row>
    <row r="141" spans="2:11" ht="12.75" customHeight="1" x14ac:dyDescent="0.2">
      <c r="B141" s="43" t="s">
        <v>20</v>
      </c>
      <c r="C141" s="44"/>
      <c r="D141" s="44"/>
      <c r="E141" s="45"/>
      <c r="G141" s="37"/>
      <c r="H141" s="37"/>
      <c r="I141" s="37"/>
      <c r="K141" s="37"/>
    </row>
    <row r="142" spans="2:11" ht="12.75" customHeight="1" x14ac:dyDescent="0.2">
      <c r="B142" s="46" t="s">
        <v>8</v>
      </c>
      <c r="E142" s="47"/>
      <c r="G142" s="37"/>
      <c r="H142" s="37"/>
      <c r="I142" s="37"/>
      <c r="K142" s="37"/>
    </row>
    <row r="143" spans="2:11" ht="12.75" customHeight="1" x14ac:dyDescent="0.2">
      <c r="B143" s="46" t="s">
        <v>7</v>
      </c>
      <c r="E143" s="47"/>
      <c r="G143" s="37"/>
      <c r="H143" s="37"/>
      <c r="I143" s="37"/>
      <c r="K143" s="37"/>
    </row>
    <row r="144" spans="2:11" ht="12.75" customHeight="1" x14ac:dyDescent="0.2">
      <c r="B144" s="46" t="s">
        <v>41</v>
      </c>
      <c r="E144" s="47"/>
      <c r="G144" s="37"/>
      <c r="H144" s="37"/>
      <c r="I144" s="37"/>
      <c r="K144" s="37"/>
    </row>
    <row r="145" spans="2:11" ht="12.75" customHeight="1" x14ac:dyDescent="0.2">
      <c r="B145" s="46" t="s">
        <v>8</v>
      </c>
      <c r="E145" s="47"/>
      <c r="G145" s="37"/>
      <c r="H145" s="37"/>
      <c r="I145" s="37"/>
      <c r="K145" s="37"/>
    </row>
    <row r="146" spans="2:11" ht="12.75" customHeight="1" x14ac:dyDescent="0.2">
      <c r="B146" s="46" t="s">
        <v>71</v>
      </c>
      <c r="D146" s="61">
        <f>F14</f>
        <v>120</v>
      </c>
      <c r="E146" s="47"/>
      <c r="G146" s="37"/>
      <c r="H146" s="37"/>
      <c r="I146" s="37"/>
      <c r="K146" s="37"/>
    </row>
    <row r="147" spans="2:11" ht="12.75" customHeight="1" x14ac:dyDescent="0.2">
      <c r="B147" s="46" t="s">
        <v>325</v>
      </c>
      <c r="D147" s="61">
        <f>((F15/F14)*G15)+((F16/F14)*G16)+((F17/F14)*G17)</f>
        <v>0.24000000000000005</v>
      </c>
      <c r="E147" s="47"/>
      <c r="G147" s="37"/>
      <c r="H147" s="37"/>
      <c r="I147" s="37"/>
      <c r="K147" s="37"/>
    </row>
    <row r="148" spans="2:11" ht="12.75" customHeight="1" x14ac:dyDescent="0.2">
      <c r="B148" s="46" t="s">
        <v>76</v>
      </c>
      <c r="D148" s="61">
        <f>F15</f>
        <v>240</v>
      </c>
      <c r="E148" s="47"/>
      <c r="G148" s="37"/>
      <c r="H148" s="37"/>
      <c r="I148" s="37"/>
      <c r="K148" s="37"/>
    </row>
    <row r="149" spans="2:11" ht="12.75" customHeight="1" x14ac:dyDescent="0.2">
      <c r="B149" s="46" t="s">
        <v>318</v>
      </c>
      <c r="D149" s="61">
        <f>G15</f>
        <v>0.1</v>
      </c>
      <c r="E149" s="47"/>
      <c r="G149" s="37"/>
      <c r="H149" s="37"/>
      <c r="I149" s="37"/>
      <c r="K149" s="37"/>
    </row>
    <row r="150" spans="2:11" ht="12.75" customHeight="1" x14ac:dyDescent="0.2">
      <c r="B150" s="46" t="s">
        <v>75</v>
      </c>
      <c r="D150" s="61">
        <f>F16</f>
        <v>24</v>
      </c>
      <c r="E150" s="47"/>
      <c r="G150" s="37"/>
      <c r="H150" s="37"/>
      <c r="I150" s="37"/>
      <c r="K150" s="37"/>
    </row>
    <row r="151" spans="2:11" ht="12.75" customHeight="1" x14ac:dyDescent="0.2">
      <c r="B151" s="46" t="s">
        <v>319</v>
      </c>
      <c r="D151" s="61">
        <f>G16</f>
        <v>0.1</v>
      </c>
      <c r="E151" s="47"/>
      <c r="G151" s="37"/>
      <c r="H151" s="37"/>
      <c r="I151" s="37"/>
      <c r="J151" s="37" t="s">
        <v>3</v>
      </c>
      <c r="K151" s="37"/>
    </row>
    <row r="152" spans="2:11" ht="12.75" customHeight="1" x14ac:dyDescent="0.2">
      <c r="B152" s="46" t="s">
        <v>77</v>
      </c>
      <c r="D152" s="61">
        <f>F17</f>
        <v>24</v>
      </c>
      <c r="E152" s="47"/>
      <c r="G152" s="37"/>
      <c r="H152" s="37"/>
      <c r="I152" s="37"/>
      <c r="J152" s="37" t="s">
        <v>2</v>
      </c>
      <c r="K152" s="37"/>
    </row>
    <row r="153" spans="2:11" ht="12.75" customHeight="1" x14ac:dyDescent="0.2">
      <c r="B153" s="46" t="s">
        <v>321</v>
      </c>
      <c r="D153" s="61">
        <f>G17</f>
        <v>0.1</v>
      </c>
      <c r="E153" s="47"/>
      <c r="G153" s="37"/>
      <c r="H153" s="37"/>
      <c r="I153" s="37"/>
      <c r="J153" s="71">
        <f>F15</f>
        <v>240</v>
      </c>
      <c r="K153" s="37"/>
    </row>
    <row r="154" spans="2:11" ht="12.75" customHeight="1" x14ac:dyDescent="0.2">
      <c r="B154" s="46" t="s">
        <v>326</v>
      </c>
      <c r="D154" s="61">
        <f>D146*D147</f>
        <v>28.800000000000004</v>
      </c>
      <c r="E154" s="47"/>
      <c r="G154" s="37"/>
      <c r="H154" s="37"/>
      <c r="I154" s="37"/>
      <c r="K154" s="37"/>
    </row>
    <row r="155" spans="2:11" ht="12.75" customHeight="1" x14ac:dyDescent="0.2">
      <c r="B155" s="46" t="s">
        <v>8</v>
      </c>
      <c r="E155" s="47"/>
      <c r="G155" s="37"/>
      <c r="H155" s="37"/>
      <c r="I155" s="37"/>
      <c r="K155" s="37"/>
    </row>
    <row r="156" spans="2:11" ht="12.75" customHeight="1" x14ac:dyDescent="0.2">
      <c r="B156" s="46" t="s">
        <v>21</v>
      </c>
      <c r="E156" s="47"/>
      <c r="G156" s="37"/>
      <c r="H156" s="37" t="s">
        <v>0</v>
      </c>
      <c r="I156" s="37"/>
      <c r="J156" s="37" t="s">
        <v>4</v>
      </c>
      <c r="K156" s="37"/>
    </row>
    <row r="157" spans="2:11" ht="12.75" customHeight="1" x14ac:dyDescent="0.2">
      <c r="B157" s="46" t="s">
        <v>8</v>
      </c>
      <c r="E157" s="47"/>
      <c r="G157" s="37"/>
      <c r="H157" s="37" t="s">
        <v>2</v>
      </c>
      <c r="I157" s="37"/>
      <c r="J157" s="37" t="s">
        <v>34</v>
      </c>
      <c r="K157" s="37"/>
    </row>
    <row r="158" spans="2:11" ht="12.75" customHeight="1" x14ac:dyDescent="0.2">
      <c r="B158" s="46" t="s">
        <v>408</v>
      </c>
      <c r="D158" s="61">
        <f>H14</f>
        <v>10</v>
      </c>
      <c r="E158" s="47"/>
      <c r="G158" s="37"/>
      <c r="H158" s="71">
        <f>F14</f>
        <v>120</v>
      </c>
      <c r="I158" s="37"/>
      <c r="J158" s="71">
        <f>F16</f>
        <v>24</v>
      </c>
      <c r="K158" s="37"/>
    </row>
    <row r="159" spans="2:11" ht="12.75" customHeight="1" x14ac:dyDescent="0.2">
      <c r="B159" s="46" t="s">
        <v>409</v>
      </c>
      <c r="D159" s="61">
        <f>H15</f>
        <v>40</v>
      </c>
      <c r="E159" s="47"/>
      <c r="G159" s="37"/>
      <c r="H159" s="37"/>
      <c r="I159" s="37"/>
      <c r="K159" s="37"/>
    </row>
    <row r="160" spans="2:11" ht="12.75" customHeight="1" x14ac:dyDescent="0.2">
      <c r="B160" s="46" t="s">
        <v>415</v>
      </c>
      <c r="D160" s="61">
        <f>H16</f>
        <v>0.40000000000000008</v>
      </c>
      <c r="E160" s="47"/>
      <c r="G160" s="37"/>
      <c r="H160" s="37"/>
      <c r="I160" s="37"/>
      <c r="K160" s="37"/>
    </row>
    <row r="161" spans="2:11" ht="12.75" customHeight="1" x14ac:dyDescent="0.2">
      <c r="B161" s="46" t="s">
        <v>419</v>
      </c>
      <c r="D161" s="61">
        <f>H17</f>
        <v>0.40000000000000008</v>
      </c>
      <c r="E161" s="47"/>
      <c r="G161" s="37"/>
      <c r="H161" s="37"/>
      <c r="I161" s="37"/>
      <c r="J161" s="37" t="s">
        <v>5</v>
      </c>
      <c r="K161" s="37"/>
    </row>
    <row r="162" spans="2:11" ht="12.75" customHeight="1" x14ac:dyDescent="0.2">
      <c r="B162" s="46" t="s">
        <v>410</v>
      </c>
      <c r="D162" s="61">
        <f>J17</f>
        <v>22.360679774997894</v>
      </c>
      <c r="E162" s="47"/>
      <c r="G162" s="37"/>
      <c r="H162" s="37"/>
      <c r="I162" s="37"/>
      <c r="J162" s="37" t="s">
        <v>34</v>
      </c>
      <c r="K162" s="37"/>
    </row>
    <row r="163" spans="2:11" ht="12.75" customHeight="1" x14ac:dyDescent="0.2">
      <c r="B163" s="46" t="s">
        <v>411</v>
      </c>
      <c r="D163" s="61">
        <f>K15</f>
        <v>48.989794855663561</v>
      </c>
      <c r="E163" s="47"/>
      <c r="G163" s="37"/>
      <c r="H163" s="37"/>
      <c r="I163" s="37"/>
      <c r="J163" s="71">
        <f>F17</f>
        <v>24</v>
      </c>
      <c r="K163" s="37"/>
    </row>
    <row r="164" spans="2:11" ht="12.75" customHeight="1" x14ac:dyDescent="0.2">
      <c r="B164" s="46" t="s">
        <v>416</v>
      </c>
      <c r="D164" s="61">
        <f>K16</f>
        <v>15.491933384829668</v>
      </c>
      <c r="E164" s="47"/>
      <c r="G164" s="37"/>
      <c r="H164" s="37"/>
      <c r="I164" s="37"/>
      <c r="K164" s="37"/>
    </row>
    <row r="165" spans="2:11" ht="12.75" customHeight="1" x14ac:dyDescent="0.2">
      <c r="B165" s="46" t="s">
        <v>420</v>
      </c>
      <c r="D165" s="61">
        <f>K17</f>
        <v>15.491933384829668</v>
      </c>
      <c r="E165" s="47"/>
      <c r="G165" s="37"/>
      <c r="H165" s="37"/>
      <c r="I165" s="37"/>
      <c r="K165" s="37"/>
    </row>
    <row r="166" spans="2:11" ht="12.75" customHeight="1" x14ac:dyDescent="0.2">
      <c r="B166" s="46" t="s">
        <v>9</v>
      </c>
      <c r="E166" s="47"/>
      <c r="G166" s="37"/>
      <c r="H166" s="37"/>
      <c r="I166" s="37"/>
      <c r="K166" s="37"/>
    </row>
    <row r="167" spans="2:11" ht="12.75" customHeight="1" x14ac:dyDescent="0.2">
      <c r="B167" s="46" t="s">
        <v>10</v>
      </c>
      <c r="E167" s="47"/>
      <c r="G167" s="37"/>
      <c r="H167" s="37"/>
      <c r="I167" s="37"/>
      <c r="K167" s="37"/>
    </row>
    <row r="168" spans="2:11" ht="12.75" customHeight="1" x14ac:dyDescent="0.2">
      <c r="B168" s="46" t="s">
        <v>11</v>
      </c>
      <c r="E168" s="47"/>
      <c r="G168" s="37"/>
      <c r="H168" s="37"/>
      <c r="I168" s="37"/>
      <c r="K168" s="37"/>
    </row>
    <row r="169" spans="2:11" ht="12.75" customHeight="1" x14ac:dyDescent="0.2">
      <c r="B169" s="46" t="s">
        <v>29</v>
      </c>
      <c r="E169" s="47"/>
      <c r="G169" s="37"/>
      <c r="H169" s="37"/>
      <c r="I169" s="37"/>
      <c r="K169" s="37"/>
    </row>
    <row r="170" spans="2:11" ht="12.75" customHeight="1" x14ac:dyDescent="0.2">
      <c r="B170" s="46" t="s">
        <v>322</v>
      </c>
      <c r="E170" s="47"/>
      <c r="G170" s="37"/>
      <c r="H170" s="37"/>
      <c r="I170" s="37"/>
      <c r="K170" s="37"/>
    </row>
    <row r="171" spans="2:11" ht="12.75" customHeight="1" x14ac:dyDescent="0.2">
      <c r="B171" s="46" t="s">
        <v>323</v>
      </c>
      <c r="E171" s="47"/>
      <c r="G171" s="37"/>
      <c r="H171" s="37"/>
      <c r="I171" s="37"/>
      <c r="K171" s="37"/>
    </row>
    <row r="172" spans="2:11" ht="12.75" customHeight="1" x14ac:dyDescent="0.2">
      <c r="B172" s="46" t="s">
        <v>335</v>
      </c>
      <c r="E172" s="47"/>
      <c r="G172" s="37"/>
      <c r="H172" s="37"/>
      <c r="I172" s="37"/>
      <c r="K172" s="37"/>
    </row>
    <row r="173" spans="2:11" ht="12.75" customHeight="1" x14ac:dyDescent="0.2">
      <c r="B173" s="46" t="s">
        <v>324</v>
      </c>
      <c r="E173" s="47"/>
      <c r="G173" s="37"/>
      <c r="H173" s="37"/>
      <c r="I173" s="37"/>
      <c r="K173" s="37"/>
    </row>
    <row r="174" spans="2:11" ht="12.75" customHeight="1" x14ac:dyDescent="0.2">
      <c r="B174" s="46" t="s">
        <v>336</v>
      </c>
      <c r="E174" s="47"/>
      <c r="G174" s="37"/>
      <c r="H174" s="37"/>
      <c r="I174" s="37"/>
      <c r="K174" s="37"/>
    </row>
    <row r="175" spans="2:11" ht="12.75" customHeight="1" x14ac:dyDescent="0.2">
      <c r="B175" s="46" t="s">
        <v>337</v>
      </c>
      <c r="E175" s="47"/>
      <c r="G175" s="37"/>
      <c r="H175" s="37"/>
      <c r="I175" s="37"/>
      <c r="K175" s="37"/>
    </row>
    <row r="176" spans="2:11" ht="12.75" customHeight="1" thickBot="1" x14ac:dyDescent="0.25">
      <c r="B176" s="48" t="s">
        <v>12</v>
      </c>
      <c r="C176" s="49"/>
      <c r="D176" s="49"/>
      <c r="E176" s="50"/>
      <c r="G176" s="37"/>
      <c r="H176" s="37"/>
      <c r="I176" s="37"/>
      <c r="K176" s="37"/>
    </row>
    <row r="177" spans="2:11" ht="12.75" customHeight="1" x14ac:dyDescent="0.2">
      <c r="G177" s="37"/>
      <c r="H177" s="37"/>
      <c r="I177" s="37"/>
      <c r="K177" s="37"/>
    </row>
    <row r="178" spans="2:11" ht="12.75" customHeight="1" thickBot="1" x14ac:dyDescent="0.25">
      <c r="G178" s="37"/>
      <c r="H178" s="37"/>
      <c r="I178" s="37"/>
      <c r="K178" s="37"/>
    </row>
    <row r="179" spans="2:11" ht="12.75" customHeight="1" x14ac:dyDescent="0.2">
      <c r="B179" s="43" t="s">
        <v>24</v>
      </c>
      <c r="C179" s="44"/>
      <c r="D179" s="44"/>
      <c r="E179" s="45"/>
      <c r="F179" s="79"/>
      <c r="G179" s="37"/>
      <c r="H179" s="37"/>
      <c r="I179" s="37"/>
      <c r="K179" s="37"/>
    </row>
    <row r="180" spans="2:11" ht="12.75" customHeight="1" x14ac:dyDescent="0.2">
      <c r="B180" s="46" t="s">
        <v>8</v>
      </c>
      <c r="E180" s="47"/>
      <c r="F180" s="80"/>
      <c r="G180" s="37"/>
      <c r="H180" s="37"/>
      <c r="I180" s="37"/>
      <c r="K180" s="37"/>
    </row>
    <row r="181" spans="2:11" ht="12.75" customHeight="1" x14ac:dyDescent="0.2">
      <c r="B181" s="46" t="s">
        <v>7</v>
      </c>
      <c r="E181" s="47"/>
      <c r="F181" s="80"/>
      <c r="G181" s="37"/>
      <c r="H181" s="37"/>
      <c r="I181" s="37"/>
      <c r="K181" s="37"/>
    </row>
    <row r="182" spans="2:11" ht="12.75" customHeight="1" x14ac:dyDescent="0.2">
      <c r="B182" s="46" t="s">
        <v>41</v>
      </c>
      <c r="E182" s="47"/>
      <c r="F182" s="80"/>
      <c r="G182" s="37"/>
      <c r="H182" s="37"/>
      <c r="I182" s="37"/>
      <c r="K182" s="37"/>
    </row>
    <row r="183" spans="2:11" ht="12.75" customHeight="1" x14ac:dyDescent="0.2">
      <c r="B183" s="46" t="s">
        <v>8</v>
      </c>
      <c r="E183" s="47"/>
      <c r="F183" s="80"/>
      <c r="G183" s="37"/>
      <c r="H183" s="37"/>
      <c r="I183" s="37"/>
      <c r="K183" s="37"/>
    </row>
    <row r="184" spans="2:11" ht="12.75" customHeight="1" x14ac:dyDescent="0.2">
      <c r="B184" s="46" t="s">
        <v>71</v>
      </c>
      <c r="D184" s="61">
        <f>F14</f>
        <v>120</v>
      </c>
      <c r="E184" s="47"/>
      <c r="F184" s="80"/>
      <c r="G184" s="37"/>
      <c r="H184" s="37"/>
      <c r="I184" s="37"/>
      <c r="K184" s="37"/>
    </row>
    <row r="185" spans="2:11" ht="12.75" customHeight="1" x14ac:dyDescent="0.2">
      <c r="B185" s="46" t="s">
        <v>325</v>
      </c>
      <c r="D185" s="61">
        <f>((F15/F14)*G15)+((F16/F14)*G16)+((F17/F14)*G17)</f>
        <v>0.24000000000000005</v>
      </c>
      <c r="E185" s="47"/>
      <c r="F185" s="80"/>
      <c r="G185" s="37"/>
      <c r="H185" s="37"/>
      <c r="I185" s="37"/>
      <c r="K185" s="37"/>
    </row>
    <row r="186" spans="2:11" ht="12.75" customHeight="1" x14ac:dyDescent="0.2">
      <c r="B186" s="46" t="s">
        <v>74</v>
      </c>
      <c r="D186" s="61">
        <f>F15</f>
        <v>240</v>
      </c>
      <c r="E186" s="47"/>
      <c r="F186" s="80"/>
      <c r="G186" s="37"/>
      <c r="H186" s="37"/>
      <c r="I186" s="37"/>
      <c r="K186" s="37"/>
    </row>
    <row r="187" spans="2:11" ht="12.75" customHeight="1" x14ac:dyDescent="0.2">
      <c r="B187" s="46" t="s">
        <v>318</v>
      </c>
      <c r="D187" s="61">
        <f>G15</f>
        <v>0.1</v>
      </c>
      <c r="E187" s="47"/>
      <c r="F187" s="80"/>
      <c r="G187" s="37"/>
      <c r="H187" s="37"/>
      <c r="I187" s="37"/>
      <c r="K187" s="37"/>
    </row>
    <row r="188" spans="2:11" ht="12.75" customHeight="1" x14ac:dyDescent="0.2">
      <c r="B188" s="46" t="s">
        <v>75</v>
      </c>
      <c r="D188" s="61">
        <f>F16</f>
        <v>24</v>
      </c>
      <c r="E188" s="47"/>
      <c r="F188" s="80"/>
      <c r="G188" s="37"/>
      <c r="H188" s="37"/>
      <c r="I188" s="37"/>
      <c r="J188" s="71">
        <f>F15/2</f>
        <v>120</v>
      </c>
      <c r="K188" s="37"/>
    </row>
    <row r="189" spans="2:11" ht="12.75" customHeight="1" x14ac:dyDescent="0.2">
      <c r="B189" s="46" t="s">
        <v>319</v>
      </c>
      <c r="D189" s="61">
        <f>G16</f>
        <v>0.1</v>
      </c>
      <c r="E189" s="47"/>
      <c r="F189" s="80"/>
      <c r="G189" s="37"/>
      <c r="H189" s="37"/>
      <c r="I189" s="37"/>
      <c r="J189" s="37" t="s">
        <v>36</v>
      </c>
      <c r="K189" s="37" t="s">
        <v>3</v>
      </c>
    </row>
    <row r="190" spans="2:11" ht="12.75" customHeight="1" x14ac:dyDescent="0.2">
      <c r="B190" s="46" t="s">
        <v>77</v>
      </c>
      <c r="D190" s="61">
        <f>F17</f>
        <v>24</v>
      </c>
      <c r="E190" s="47"/>
      <c r="F190" s="80"/>
      <c r="G190" s="37"/>
      <c r="H190" s="37"/>
      <c r="I190" s="37"/>
      <c r="K190" s="37" t="s">
        <v>34</v>
      </c>
    </row>
    <row r="191" spans="2:11" ht="12.75" customHeight="1" x14ac:dyDescent="0.2">
      <c r="B191" s="46" t="s">
        <v>321</v>
      </c>
      <c r="D191" s="61">
        <f>G17</f>
        <v>0.1</v>
      </c>
      <c r="E191" s="47"/>
      <c r="F191" s="80"/>
      <c r="G191" s="37"/>
      <c r="H191" s="37"/>
      <c r="I191" s="37"/>
      <c r="J191" s="71">
        <f>F15/2</f>
        <v>120</v>
      </c>
      <c r="K191" s="71">
        <f>F15</f>
        <v>240</v>
      </c>
    </row>
    <row r="192" spans="2:11" ht="12.75" customHeight="1" x14ac:dyDescent="0.2">
      <c r="B192" s="46" t="s">
        <v>326</v>
      </c>
      <c r="D192" s="61">
        <f>D184*D185</f>
        <v>28.800000000000004</v>
      </c>
      <c r="E192" s="47"/>
      <c r="F192" s="80"/>
      <c r="G192" s="37"/>
      <c r="H192" s="37"/>
      <c r="I192" s="37"/>
      <c r="J192" s="37" t="s">
        <v>36</v>
      </c>
      <c r="K192" s="37" t="s">
        <v>35</v>
      </c>
    </row>
    <row r="193" spans="2:11" ht="12.75" customHeight="1" x14ac:dyDescent="0.2">
      <c r="B193" s="46" t="s">
        <v>8</v>
      </c>
      <c r="E193" s="47"/>
      <c r="F193" s="80"/>
      <c r="G193" s="37"/>
      <c r="H193" s="37"/>
      <c r="I193" s="37"/>
      <c r="K193" s="37"/>
    </row>
    <row r="194" spans="2:11" ht="12.75" customHeight="1" x14ac:dyDescent="0.2">
      <c r="B194" s="46" t="s">
        <v>334</v>
      </c>
      <c r="E194" s="47"/>
      <c r="F194" s="80"/>
      <c r="G194" s="37"/>
      <c r="H194" s="37" t="s">
        <v>0</v>
      </c>
      <c r="I194" s="37"/>
      <c r="K194" s="37" t="s">
        <v>4</v>
      </c>
    </row>
    <row r="195" spans="2:11" ht="12.75" customHeight="1" x14ac:dyDescent="0.2">
      <c r="B195" s="46" t="s">
        <v>6</v>
      </c>
      <c r="D195" s="61"/>
      <c r="E195" s="47"/>
      <c r="F195" s="80"/>
      <c r="G195" s="37"/>
      <c r="H195" s="37" t="s">
        <v>2</v>
      </c>
      <c r="I195" s="37"/>
      <c r="K195" s="37" t="s">
        <v>34</v>
      </c>
    </row>
    <row r="196" spans="2:11" ht="12.75" customHeight="1" x14ac:dyDescent="0.2">
      <c r="B196" s="46" t="s">
        <v>408</v>
      </c>
      <c r="D196" s="61">
        <f>H14</f>
        <v>10</v>
      </c>
      <c r="E196" s="47"/>
      <c r="F196" s="80"/>
      <c r="G196" s="37"/>
      <c r="H196" s="71">
        <f>F14</f>
        <v>120</v>
      </c>
      <c r="I196" s="37"/>
      <c r="K196" s="71">
        <f>F16</f>
        <v>24</v>
      </c>
    </row>
    <row r="197" spans="2:11" ht="12.75" customHeight="1" x14ac:dyDescent="0.2">
      <c r="B197" s="46" t="s">
        <v>412</v>
      </c>
      <c r="D197" s="83">
        <f>H15/4</f>
        <v>10</v>
      </c>
      <c r="E197" s="47"/>
      <c r="F197" s="81">
        <f>H15</f>
        <v>40</v>
      </c>
      <c r="G197" s="37"/>
      <c r="H197" s="37"/>
      <c r="I197" s="37"/>
      <c r="K197" s="37"/>
    </row>
    <row r="198" spans="2:11" ht="12.75" customHeight="1" x14ac:dyDescent="0.2">
      <c r="B198" s="46" t="s">
        <v>413</v>
      </c>
      <c r="D198" s="83">
        <f>H15/4</f>
        <v>10</v>
      </c>
      <c r="E198" s="47"/>
      <c r="F198" s="81">
        <f>H15</f>
        <v>40</v>
      </c>
      <c r="G198" s="37"/>
      <c r="H198" s="37"/>
      <c r="I198" s="37"/>
      <c r="K198" s="37"/>
    </row>
    <row r="199" spans="2:11" ht="12.75" customHeight="1" x14ac:dyDescent="0.2">
      <c r="B199" s="46" t="s">
        <v>417</v>
      </c>
      <c r="D199" s="61">
        <f>H16</f>
        <v>0.40000000000000008</v>
      </c>
      <c r="E199" s="47"/>
      <c r="F199" s="80"/>
      <c r="G199" s="37"/>
      <c r="H199" s="37"/>
      <c r="I199" s="37"/>
      <c r="K199" s="37" t="s">
        <v>5</v>
      </c>
    </row>
    <row r="200" spans="2:11" ht="12.75" customHeight="1" x14ac:dyDescent="0.2">
      <c r="B200" s="46" t="s">
        <v>421</v>
      </c>
      <c r="D200" s="61">
        <f>H17</f>
        <v>0.40000000000000008</v>
      </c>
      <c r="E200" s="47"/>
      <c r="F200" s="80"/>
      <c r="G200" s="37"/>
      <c r="H200" s="37"/>
      <c r="I200" s="37"/>
      <c r="K200" s="37" t="s">
        <v>34</v>
      </c>
    </row>
    <row r="201" spans="2:11" ht="12.75" customHeight="1" x14ac:dyDescent="0.2">
      <c r="B201" s="46" t="s">
        <v>410</v>
      </c>
      <c r="D201" s="61">
        <f>J17</f>
        <v>22.360679774997894</v>
      </c>
      <c r="E201" s="47"/>
      <c r="F201" s="80"/>
      <c r="G201" s="37"/>
      <c r="H201" s="37"/>
      <c r="I201" s="37"/>
      <c r="K201" s="71">
        <f>F17</f>
        <v>24</v>
      </c>
    </row>
    <row r="202" spans="2:11" ht="12.75" customHeight="1" x14ac:dyDescent="0.2">
      <c r="B202" s="46" t="s">
        <v>411</v>
      </c>
      <c r="D202" s="61">
        <f>K20</f>
        <v>10.954451150103322</v>
      </c>
      <c r="E202" s="47"/>
      <c r="F202" s="80"/>
      <c r="G202" s="37"/>
      <c r="H202" s="37"/>
      <c r="I202" s="37"/>
      <c r="K202" s="37"/>
    </row>
    <row r="203" spans="2:11" ht="12.75" customHeight="1" x14ac:dyDescent="0.2">
      <c r="B203" s="46" t="s">
        <v>414</v>
      </c>
      <c r="D203" s="61">
        <f>K20</f>
        <v>10.954451150103322</v>
      </c>
      <c r="E203" s="47"/>
      <c r="F203" s="80"/>
      <c r="G203" s="37"/>
      <c r="H203" s="37"/>
      <c r="I203" s="37"/>
      <c r="K203" s="37"/>
    </row>
    <row r="204" spans="2:11" ht="12.75" customHeight="1" x14ac:dyDescent="0.2">
      <c r="B204" s="46" t="s">
        <v>418</v>
      </c>
      <c r="D204" s="61">
        <f>K16</f>
        <v>15.491933384829668</v>
      </c>
      <c r="E204" s="47"/>
      <c r="F204" s="80"/>
      <c r="G204" s="37"/>
      <c r="H204" s="37"/>
      <c r="I204" s="37"/>
      <c r="K204" s="37"/>
    </row>
    <row r="205" spans="2:11" ht="12.75" customHeight="1" x14ac:dyDescent="0.2">
      <c r="B205" s="46" t="s">
        <v>422</v>
      </c>
      <c r="D205" s="61">
        <f>K17</f>
        <v>15.491933384829668</v>
      </c>
      <c r="E205" s="47"/>
      <c r="F205" s="80"/>
      <c r="G205" s="37"/>
      <c r="H205" s="37"/>
      <c r="I205" s="37"/>
      <c r="K205" s="37"/>
    </row>
    <row r="206" spans="2:11" ht="12.75" customHeight="1" x14ac:dyDescent="0.2">
      <c r="B206" s="46" t="s">
        <v>9</v>
      </c>
      <c r="E206" s="47"/>
      <c r="F206" s="80"/>
      <c r="G206" s="37"/>
      <c r="H206" s="37"/>
      <c r="I206" s="37"/>
      <c r="K206" s="37"/>
    </row>
    <row r="207" spans="2:11" ht="12.75" customHeight="1" x14ac:dyDescent="0.2">
      <c r="B207" s="46" t="s">
        <v>16</v>
      </c>
      <c r="E207" s="47"/>
      <c r="F207" s="80"/>
      <c r="G207" s="37"/>
      <c r="H207" s="37"/>
      <c r="I207" s="37"/>
      <c r="K207" s="37"/>
    </row>
    <row r="208" spans="2:11" ht="12.75" customHeight="1" x14ac:dyDescent="0.2">
      <c r="B208" s="46" t="s">
        <v>17</v>
      </c>
      <c r="E208" s="47"/>
      <c r="F208" s="80"/>
      <c r="G208" s="37"/>
      <c r="H208" s="37"/>
      <c r="I208" s="37"/>
      <c r="K208" s="37"/>
    </row>
    <row r="209" spans="2:11" ht="12.75" customHeight="1" x14ac:dyDescent="0.2">
      <c r="B209" s="46" t="s">
        <v>18</v>
      </c>
      <c r="E209" s="47"/>
      <c r="F209" s="80"/>
      <c r="G209" s="37"/>
      <c r="H209" s="37"/>
      <c r="I209" s="37"/>
      <c r="K209" s="37"/>
    </row>
    <row r="210" spans="2:11" ht="12.75" customHeight="1" x14ac:dyDescent="0.2">
      <c r="B210" s="46" t="s">
        <v>25</v>
      </c>
      <c r="E210" s="47"/>
      <c r="F210" s="80"/>
      <c r="G210" s="37"/>
      <c r="H210" s="37"/>
      <c r="I210" s="37"/>
      <c r="K210" s="37"/>
    </row>
    <row r="211" spans="2:11" ht="12.75" customHeight="1" x14ac:dyDescent="0.2">
      <c r="B211" s="46" t="s">
        <v>322</v>
      </c>
      <c r="E211" s="47"/>
      <c r="F211" s="80"/>
      <c r="G211" s="37"/>
      <c r="H211" s="37"/>
      <c r="I211" s="37"/>
      <c r="K211" s="37"/>
    </row>
    <row r="212" spans="2:11" ht="12.75" customHeight="1" x14ac:dyDescent="0.2">
      <c r="B212" s="46" t="s">
        <v>323</v>
      </c>
      <c r="E212" s="47"/>
      <c r="F212" s="80"/>
      <c r="G212" s="37"/>
      <c r="H212" s="37"/>
      <c r="I212" s="37"/>
      <c r="K212" s="37"/>
    </row>
    <row r="213" spans="2:11" ht="12.75" customHeight="1" x14ac:dyDescent="0.2">
      <c r="B213" s="46" t="s">
        <v>335</v>
      </c>
      <c r="E213" s="47"/>
      <c r="F213" s="80"/>
      <c r="G213" s="37"/>
      <c r="H213" s="37"/>
      <c r="I213" s="37"/>
      <c r="K213" s="37"/>
    </row>
    <row r="214" spans="2:11" ht="12.75" customHeight="1" x14ac:dyDescent="0.2">
      <c r="B214" s="46" t="s">
        <v>338</v>
      </c>
      <c r="E214" s="47"/>
      <c r="F214" s="80"/>
      <c r="G214" s="37"/>
      <c r="H214" s="37"/>
      <c r="I214" s="37"/>
      <c r="K214" s="37"/>
    </row>
    <row r="215" spans="2:11" ht="12.75" customHeight="1" x14ac:dyDescent="0.2">
      <c r="B215" s="46" t="s">
        <v>324</v>
      </c>
      <c r="E215" s="47"/>
      <c r="F215" s="80"/>
      <c r="G215" s="37"/>
      <c r="H215" s="37"/>
      <c r="I215" s="37"/>
      <c r="K215" s="37"/>
    </row>
    <row r="216" spans="2:11" ht="12.75" customHeight="1" x14ac:dyDescent="0.2">
      <c r="B216" s="46" t="s">
        <v>336</v>
      </c>
      <c r="E216" s="47"/>
      <c r="F216" s="80"/>
      <c r="G216" s="37"/>
      <c r="H216" s="37"/>
      <c r="I216" s="37"/>
      <c r="K216" s="37"/>
    </row>
    <row r="217" spans="2:11" ht="12.75" customHeight="1" x14ac:dyDescent="0.2">
      <c r="B217" s="46" t="s">
        <v>339</v>
      </c>
      <c r="E217" s="47"/>
      <c r="F217" s="80"/>
      <c r="G217" s="37"/>
      <c r="H217" s="37"/>
      <c r="I217" s="37"/>
      <c r="K217" s="37"/>
    </row>
    <row r="218" spans="2:11" ht="12.75" customHeight="1" x14ac:dyDescent="0.2">
      <c r="B218" s="46" t="s">
        <v>337</v>
      </c>
      <c r="E218" s="47"/>
      <c r="F218" s="80"/>
      <c r="G218" s="37"/>
      <c r="H218" s="37"/>
      <c r="I218" s="37"/>
      <c r="K218" s="37"/>
    </row>
    <row r="219" spans="2:11" ht="12.75" customHeight="1" x14ac:dyDescent="0.2">
      <c r="B219" s="46" t="s">
        <v>340</v>
      </c>
      <c r="E219" s="47"/>
      <c r="F219" s="80"/>
      <c r="G219" s="37"/>
      <c r="H219" s="37"/>
      <c r="I219" s="37"/>
      <c r="K219" s="37"/>
    </row>
    <row r="220" spans="2:11" ht="12.75" customHeight="1" x14ac:dyDescent="0.2">
      <c r="B220" s="46" t="s">
        <v>341</v>
      </c>
      <c r="E220" s="47"/>
      <c r="F220" s="80"/>
      <c r="G220" s="37"/>
      <c r="H220" s="37"/>
      <c r="I220" s="37"/>
      <c r="K220" s="37"/>
    </row>
    <row r="221" spans="2:11" ht="12.75" customHeight="1" thickBot="1" x14ac:dyDescent="0.25">
      <c r="B221" s="48" t="s">
        <v>12</v>
      </c>
      <c r="C221" s="49"/>
      <c r="D221" s="49"/>
      <c r="E221" s="50"/>
      <c r="F221" s="82"/>
      <c r="G221" s="37"/>
      <c r="H221" s="37"/>
      <c r="I221" s="37"/>
      <c r="K221" s="37"/>
    </row>
    <row r="222" spans="2:11" ht="12.75" customHeight="1" x14ac:dyDescent="0.2">
      <c r="G222" s="37"/>
      <c r="H222" s="37"/>
      <c r="I222" s="37"/>
      <c r="K222" s="37"/>
    </row>
    <row r="223" spans="2:11" ht="12.75" customHeight="1" thickBot="1" x14ac:dyDescent="0.25">
      <c r="G223" s="37"/>
      <c r="H223" s="37"/>
      <c r="I223" s="37"/>
      <c r="K223" s="37"/>
    </row>
    <row r="224" spans="2:11" ht="12.75" customHeight="1" x14ac:dyDescent="0.2">
      <c r="B224" s="43" t="s">
        <v>356</v>
      </c>
      <c r="C224" s="44"/>
      <c r="D224" s="44"/>
      <c r="E224" s="45"/>
      <c r="G224" s="37"/>
      <c r="H224" s="37"/>
      <c r="I224" s="37"/>
      <c r="K224" s="37"/>
    </row>
    <row r="225" spans="2:11" ht="12.75" customHeight="1" x14ac:dyDescent="0.2">
      <c r="B225" s="46" t="s">
        <v>8</v>
      </c>
      <c r="E225" s="47"/>
      <c r="G225" s="37"/>
      <c r="H225" s="37"/>
      <c r="I225" s="37"/>
      <c r="K225" s="37"/>
    </row>
    <row r="226" spans="2:11" ht="12.75" customHeight="1" x14ac:dyDescent="0.2">
      <c r="B226" s="46" t="s">
        <v>7</v>
      </c>
      <c r="E226" s="47"/>
      <c r="G226" s="37"/>
      <c r="H226" s="37"/>
      <c r="I226" s="37"/>
      <c r="K226" s="37"/>
    </row>
    <row r="227" spans="2:11" ht="12.75" customHeight="1" x14ac:dyDescent="0.2">
      <c r="B227" s="46" t="s">
        <v>41</v>
      </c>
      <c r="E227" s="47"/>
      <c r="G227" s="37"/>
      <c r="H227" s="37"/>
      <c r="I227" s="37"/>
      <c r="K227" s="37"/>
    </row>
    <row r="228" spans="2:11" ht="12.75" customHeight="1" x14ac:dyDescent="0.2">
      <c r="B228" s="46" t="s">
        <v>8</v>
      </c>
      <c r="E228" s="47"/>
      <c r="G228" s="37"/>
      <c r="H228" s="37"/>
      <c r="I228" s="37"/>
      <c r="K228" s="37"/>
    </row>
    <row r="229" spans="2:11" ht="12.75" customHeight="1" x14ac:dyDescent="0.2">
      <c r="B229" s="46" t="s">
        <v>71</v>
      </c>
      <c r="D229" s="61">
        <f>F14</f>
        <v>120</v>
      </c>
      <c r="E229" s="47"/>
      <c r="G229" s="37"/>
      <c r="H229" s="37"/>
      <c r="I229" s="37"/>
      <c r="K229" s="37"/>
    </row>
    <row r="230" spans="2:11" ht="12.75" customHeight="1" x14ac:dyDescent="0.2">
      <c r="B230" s="46" t="s">
        <v>325</v>
      </c>
      <c r="D230" s="61">
        <f>(F15/F14)*G15</f>
        <v>0.2</v>
      </c>
      <c r="E230" s="47"/>
      <c r="G230" s="37"/>
      <c r="H230" s="37"/>
      <c r="I230" s="37"/>
      <c r="K230" s="37"/>
    </row>
    <row r="231" spans="2:11" ht="12.75" customHeight="1" x14ac:dyDescent="0.2">
      <c r="B231" s="46" t="s">
        <v>72</v>
      </c>
      <c r="D231" s="61">
        <f>F15</f>
        <v>240</v>
      </c>
      <c r="E231" s="47"/>
      <c r="G231" s="37"/>
      <c r="H231" s="71">
        <f>F14/2</f>
        <v>60</v>
      </c>
      <c r="I231" s="37"/>
      <c r="K231" s="37"/>
    </row>
    <row r="232" spans="2:11" ht="12.75" customHeight="1" x14ac:dyDescent="0.2">
      <c r="B232" s="46" t="s">
        <v>317</v>
      </c>
      <c r="D232" s="61">
        <f>G15</f>
        <v>0.1</v>
      </c>
      <c r="E232" s="47"/>
      <c r="G232" s="37" t="s">
        <v>0</v>
      </c>
      <c r="H232" s="37" t="s">
        <v>36</v>
      </c>
      <c r="I232" s="37"/>
      <c r="K232" s="37"/>
    </row>
    <row r="233" spans="2:11" ht="12.75" customHeight="1" x14ac:dyDescent="0.2">
      <c r="B233" s="46" t="s">
        <v>326</v>
      </c>
      <c r="D233" s="61">
        <f>D229*D230</f>
        <v>24</v>
      </c>
      <c r="E233" s="47"/>
      <c r="G233" s="37" t="s">
        <v>2</v>
      </c>
      <c r="H233" s="37"/>
      <c r="I233" s="37"/>
      <c r="J233" s="37" t="s">
        <v>33</v>
      </c>
      <c r="K233" s="37"/>
    </row>
    <row r="234" spans="2:11" ht="12.75" customHeight="1" x14ac:dyDescent="0.2">
      <c r="B234" s="46" t="s">
        <v>8</v>
      </c>
      <c r="E234" s="47"/>
      <c r="G234" s="37">
        <f>F14</f>
        <v>120</v>
      </c>
      <c r="H234" s="37"/>
      <c r="I234" s="37"/>
      <c r="J234" s="37" t="s">
        <v>2</v>
      </c>
      <c r="K234" s="37"/>
    </row>
    <row r="235" spans="2:11" ht="12.75" customHeight="1" x14ac:dyDescent="0.2">
      <c r="B235" s="46" t="s">
        <v>357</v>
      </c>
      <c r="E235" s="47"/>
      <c r="G235" s="37" t="s">
        <v>358</v>
      </c>
      <c r="H235" s="71">
        <f>F14/2</f>
        <v>60</v>
      </c>
      <c r="I235" s="37"/>
      <c r="J235" s="71">
        <f>F15</f>
        <v>240</v>
      </c>
      <c r="K235" s="37"/>
    </row>
    <row r="236" spans="2:11" ht="12.75" customHeight="1" x14ac:dyDescent="0.2">
      <c r="B236" s="46" t="s">
        <v>8</v>
      </c>
      <c r="E236" s="47"/>
      <c r="G236" s="37" t="s">
        <v>359</v>
      </c>
      <c r="H236" s="37" t="s">
        <v>36</v>
      </c>
      <c r="I236" s="37"/>
      <c r="K236" s="37"/>
    </row>
    <row r="237" spans="2:11" ht="12.75" customHeight="1" x14ac:dyDescent="0.2">
      <c r="B237" s="46" t="s">
        <v>423</v>
      </c>
      <c r="D237" s="61">
        <f>H19</f>
        <v>2.5</v>
      </c>
      <c r="E237" s="47"/>
      <c r="G237" s="37"/>
      <c r="H237" s="37"/>
      <c r="I237" s="37"/>
      <c r="K237" s="37"/>
    </row>
    <row r="238" spans="2:11" ht="12.75" customHeight="1" x14ac:dyDescent="0.2">
      <c r="B238" s="46" t="s">
        <v>424</v>
      </c>
      <c r="D238" s="61">
        <f>H19</f>
        <v>2.5</v>
      </c>
      <c r="E238" s="47"/>
      <c r="G238" s="37"/>
      <c r="H238" s="37"/>
      <c r="I238" s="37"/>
      <c r="K238" s="37"/>
    </row>
    <row r="239" spans="2:11" ht="12.75" customHeight="1" x14ac:dyDescent="0.2">
      <c r="B239" s="46" t="s">
        <v>413</v>
      </c>
      <c r="D239" s="61">
        <f>H15</f>
        <v>40</v>
      </c>
      <c r="E239" s="47"/>
      <c r="G239" s="37"/>
      <c r="H239" s="37"/>
      <c r="I239" s="37"/>
      <c r="K239" s="37"/>
    </row>
    <row r="240" spans="2:11" ht="12.75" customHeight="1" x14ac:dyDescent="0.2">
      <c r="B240" s="46" t="s">
        <v>410</v>
      </c>
      <c r="D240" s="61">
        <f>J19</f>
        <v>12.24744871391589</v>
      </c>
      <c r="E240" s="47"/>
      <c r="G240" s="37"/>
      <c r="H240" s="37"/>
      <c r="I240" s="37"/>
      <c r="K240" s="37"/>
    </row>
    <row r="241" spans="2:11" ht="12.75" customHeight="1" x14ac:dyDescent="0.2">
      <c r="B241" s="46" t="s">
        <v>425</v>
      </c>
      <c r="D241" s="61">
        <f>J19</f>
        <v>12.24744871391589</v>
      </c>
      <c r="E241" s="47"/>
      <c r="G241" s="37"/>
      <c r="H241" s="37"/>
      <c r="I241" s="37"/>
      <c r="K241" s="37"/>
    </row>
    <row r="242" spans="2:11" ht="12.75" customHeight="1" x14ac:dyDescent="0.2">
      <c r="B242" s="46" t="s">
        <v>426</v>
      </c>
      <c r="D242" s="61">
        <f>K15</f>
        <v>48.989794855663561</v>
      </c>
      <c r="E242" s="47"/>
      <c r="G242" s="37"/>
      <c r="H242" s="37"/>
      <c r="I242" s="37"/>
      <c r="K242" s="37"/>
    </row>
    <row r="243" spans="2:11" ht="12.75" customHeight="1" x14ac:dyDescent="0.2">
      <c r="B243" s="46" t="s">
        <v>360</v>
      </c>
      <c r="E243" s="47"/>
      <c r="G243" s="37"/>
      <c r="H243" s="37"/>
      <c r="I243" s="37"/>
      <c r="K243" s="37"/>
    </row>
    <row r="244" spans="2:11" ht="12.75" customHeight="1" x14ac:dyDescent="0.2">
      <c r="B244" s="46" t="s">
        <v>361</v>
      </c>
      <c r="E244" s="47"/>
      <c r="G244" s="37"/>
      <c r="H244" s="37"/>
      <c r="I244" s="37"/>
      <c r="K244" s="37"/>
    </row>
    <row r="245" spans="2:11" ht="12.75" customHeight="1" x14ac:dyDescent="0.2">
      <c r="B245" s="46" t="s">
        <v>362</v>
      </c>
      <c r="E245" s="47"/>
      <c r="G245" s="37"/>
      <c r="H245" s="37"/>
      <c r="I245" s="37"/>
      <c r="K245" s="37"/>
    </row>
    <row r="246" spans="2:11" ht="12.75" customHeight="1" x14ac:dyDescent="0.2">
      <c r="B246" s="46" t="s">
        <v>322</v>
      </c>
      <c r="E246" s="47"/>
      <c r="G246" s="37"/>
      <c r="H246" s="37"/>
      <c r="I246" s="37"/>
      <c r="K246" s="37"/>
    </row>
    <row r="247" spans="2:11" ht="12.75" customHeight="1" x14ac:dyDescent="0.2">
      <c r="B247" s="46" t="s">
        <v>323</v>
      </c>
      <c r="E247" s="47"/>
      <c r="G247" s="37"/>
      <c r="H247" s="37"/>
      <c r="I247" s="37"/>
      <c r="K247" s="37"/>
    </row>
    <row r="248" spans="2:11" ht="12.75" customHeight="1" x14ac:dyDescent="0.2">
      <c r="B248" s="46" t="s">
        <v>324</v>
      </c>
      <c r="E248" s="47"/>
      <c r="G248" s="37"/>
      <c r="H248" s="37"/>
      <c r="I248" s="37"/>
      <c r="K248" s="37"/>
    </row>
    <row r="249" spans="2:11" ht="12.75" customHeight="1" thickBot="1" x14ac:dyDescent="0.25">
      <c r="B249" s="48" t="s">
        <v>12</v>
      </c>
      <c r="C249" s="49"/>
      <c r="D249" s="49"/>
      <c r="E249" s="50"/>
      <c r="G249" s="37"/>
      <c r="H249" s="37"/>
      <c r="I249" s="37"/>
      <c r="K249" s="37"/>
    </row>
    <row r="250" spans="2:11" ht="12.75" customHeight="1" x14ac:dyDescent="0.2">
      <c r="G250" s="37"/>
      <c r="H250" s="37"/>
      <c r="I250" s="37"/>
      <c r="K250" s="37"/>
    </row>
    <row r="251" spans="2:11" ht="12.75" customHeight="1" thickBot="1" x14ac:dyDescent="0.25">
      <c r="G251" s="37"/>
      <c r="H251" s="37"/>
      <c r="I251" s="37"/>
      <c r="K251" s="37"/>
    </row>
    <row r="252" spans="2:11" ht="12.75" customHeight="1" x14ac:dyDescent="0.2">
      <c r="B252" s="43" t="s">
        <v>363</v>
      </c>
      <c r="C252" s="44"/>
      <c r="D252" s="44"/>
      <c r="E252" s="45"/>
      <c r="F252" s="79"/>
      <c r="G252" s="37"/>
      <c r="H252" s="37"/>
      <c r="I252" s="37"/>
      <c r="K252" s="37"/>
    </row>
    <row r="253" spans="2:11" ht="12.75" customHeight="1" x14ac:dyDescent="0.2">
      <c r="B253" s="46" t="s">
        <v>8</v>
      </c>
      <c r="E253" s="47"/>
      <c r="F253" s="80"/>
      <c r="G253" s="37"/>
      <c r="H253" s="37"/>
      <c r="I253" s="37"/>
      <c r="K253" s="37"/>
    </row>
    <row r="254" spans="2:11" ht="12.75" customHeight="1" x14ac:dyDescent="0.2">
      <c r="B254" s="46" t="s">
        <v>7</v>
      </c>
      <c r="E254" s="47"/>
      <c r="F254" s="80"/>
      <c r="G254" s="37"/>
      <c r="H254" s="37"/>
      <c r="I254" s="37"/>
      <c r="K254" s="37"/>
    </row>
    <row r="255" spans="2:11" ht="12.75" customHeight="1" x14ac:dyDescent="0.2">
      <c r="B255" s="46" t="s">
        <v>41</v>
      </c>
      <c r="E255" s="47"/>
      <c r="F255" s="80"/>
      <c r="G255" s="37"/>
      <c r="H255" s="37"/>
      <c r="I255" s="37"/>
      <c r="K255" s="37"/>
    </row>
    <row r="256" spans="2:11" ht="12.75" customHeight="1" x14ac:dyDescent="0.2">
      <c r="B256" s="46" t="s">
        <v>8</v>
      </c>
      <c r="E256" s="47"/>
      <c r="F256" s="80"/>
      <c r="G256" s="37"/>
      <c r="H256" s="37"/>
      <c r="I256" s="37"/>
      <c r="K256" s="37"/>
    </row>
    <row r="257" spans="2:11" ht="12.75" customHeight="1" x14ac:dyDescent="0.2">
      <c r="B257" s="46" t="s">
        <v>364</v>
      </c>
      <c r="D257" s="61">
        <f>F14</f>
        <v>120</v>
      </c>
      <c r="E257" s="47"/>
      <c r="F257" s="80"/>
      <c r="G257" s="37"/>
      <c r="H257" s="37"/>
      <c r="I257" s="37"/>
      <c r="K257" s="37"/>
    </row>
    <row r="258" spans="2:11" ht="12.75" customHeight="1" x14ac:dyDescent="0.2">
      <c r="B258" s="46" t="s">
        <v>325</v>
      </c>
      <c r="D258" s="61">
        <f>(F15/F14)*G15</f>
        <v>0.2</v>
      </c>
      <c r="E258" s="47"/>
      <c r="F258" s="80"/>
      <c r="G258" s="37"/>
      <c r="H258" s="37"/>
      <c r="I258" s="37"/>
      <c r="K258" s="37"/>
    </row>
    <row r="259" spans="2:11" ht="12.75" customHeight="1" x14ac:dyDescent="0.2">
      <c r="B259" s="46" t="s">
        <v>73</v>
      </c>
      <c r="D259" s="61">
        <f>F15</f>
        <v>240</v>
      </c>
      <c r="E259" s="47"/>
      <c r="F259" s="80"/>
      <c r="G259" s="37"/>
      <c r="H259" s="37"/>
      <c r="I259" s="37"/>
      <c r="K259" s="37"/>
    </row>
    <row r="260" spans="2:11" ht="12.75" customHeight="1" x14ac:dyDescent="0.2">
      <c r="B260" s="46" t="s">
        <v>317</v>
      </c>
      <c r="D260" s="61">
        <f>G15</f>
        <v>0.1</v>
      </c>
      <c r="E260" s="47"/>
      <c r="F260" s="80"/>
      <c r="G260" s="37"/>
      <c r="H260" s="37"/>
      <c r="I260" s="37"/>
      <c r="K260" s="37"/>
    </row>
    <row r="261" spans="2:11" ht="12.75" customHeight="1" x14ac:dyDescent="0.2">
      <c r="B261" s="46" t="s">
        <v>326</v>
      </c>
      <c r="D261" s="61">
        <f>D257*D258</f>
        <v>24</v>
      </c>
      <c r="E261" s="47"/>
      <c r="F261" s="80"/>
      <c r="G261" s="37"/>
      <c r="H261" s="37"/>
      <c r="I261" s="37"/>
      <c r="K261" s="37"/>
    </row>
    <row r="262" spans="2:11" ht="12.75" customHeight="1" x14ac:dyDescent="0.2">
      <c r="B262" s="46" t="s">
        <v>8</v>
      </c>
      <c r="E262" s="47"/>
      <c r="F262" s="80"/>
      <c r="G262" s="37"/>
      <c r="H262" s="37"/>
      <c r="I262" s="37"/>
      <c r="K262" s="37"/>
    </row>
    <row r="263" spans="2:11" ht="12.75" customHeight="1" x14ac:dyDescent="0.2">
      <c r="B263" s="46" t="s">
        <v>365</v>
      </c>
      <c r="E263" s="47"/>
      <c r="F263" s="80"/>
      <c r="G263" s="37"/>
      <c r="H263" s="71">
        <f>F14/2</f>
        <v>60</v>
      </c>
      <c r="I263" s="37"/>
      <c r="J263" s="71">
        <f>F15/2</f>
        <v>120</v>
      </c>
      <c r="K263" s="37"/>
    </row>
    <row r="264" spans="2:11" ht="12.75" customHeight="1" x14ac:dyDescent="0.2">
      <c r="B264" s="46" t="s">
        <v>8</v>
      </c>
      <c r="E264" s="47"/>
      <c r="F264" s="80"/>
      <c r="G264" s="37" t="s">
        <v>0</v>
      </c>
      <c r="H264" s="37" t="s">
        <v>36</v>
      </c>
      <c r="I264" s="37"/>
      <c r="J264" s="37" t="s">
        <v>36</v>
      </c>
      <c r="K264" s="37" t="s">
        <v>33</v>
      </c>
    </row>
    <row r="265" spans="2:11" ht="12.75" customHeight="1" x14ac:dyDescent="0.2">
      <c r="B265" s="46" t="s">
        <v>423</v>
      </c>
      <c r="D265" s="61">
        <f>H19</f>
        <v>2.5</v>
      </c>
      <c r="E265" s="47"/>
      <c r="F265" s="80"/>
      <c r="G265" s="37" t="s">
        <v>2</v>
      </c>
      <c r="H265" s="37"/>
      <c r="I265" s="37"/>
      <c r="K265" s="37" t="s">
        <v>34</v>
      </c>
    </row>
    <row r="266" spans="2:11" ht="12.75" customHeight="1" x14ac:dyDescent="0.2">
      <c r="B266" s="46" t="s">
        <v>424</v>
      </c>
      <c r="D266" s="61">
        <f>H19</f>
        <v>2.5</v>
      </c>
      <c r="E266" s="47"/>
      <c r="F266" s="80"/>
      <c r="G266" s="37">
        <f>F14</f>
        <v>120</v>
      </c>
      <c r="H266" s="37"/>
      <c r="I266" s="37"/>
      <c r="K266" s="71">
        <f>F15</f>
        <v>240</v>
      </c>
    </row>
    <row r="267" spans="2:11" ht="12.75" customHeight="1" x14ac:dyDescent="0.2">
      <c r="B267" s="46" t="s">
        <v>427</v>
      </c>
      <c r="D267" s="83">
        <f>H20</f>
        <v>10</v>
      </c>
      <c r="E267" s="47"/>
      <c r="F267" s="81">
        <f>H15</f>
        <v>40</v>
      </c>
      <c r="G267" s="37" t="s">
        <v>358</v>
      </c>
      <c r="H267" s="71">
        <f>F14/2</f>
        <v>60</v>
      </c>
      <c r="I267" s="37"/>
      <c r="J267" s="71">
        <f>F15/2</f>
        <v>120</v>
      </c>
      <c r="K267" s="37" t="s">
        <v>35</v>
      </c>
    </row>
    <row r="268" spans="2:11" ht="12.75" customHeight="1" x14ac:dyDescent="0.2">
      <c r="B268" s="46" t="s">
        <v>428</v>
      </c>
      <c r="D268" s="83">
        <f>H20</f>
        <v>10</v>
      </c>
      <c r="E268" s="47"/>
      <c r="F268" s="81">
        <f>H15</f>
        <v>40</v>
      </c>
      <c r="G268" s="37" t="s">
        <v>359</v>
      </c>
      <c r="H268" s="37" t="s">
        <v>36</v>
      </c>
      <c r="I268" s="37"/>
      <c r="J268" s="37" t="s">
        <v>36</v>
      </c>
      <c r="K268" s="37"/>
    </row>
    <row r="269" spans="2:11" ht="12.75" customHeight="1" x14ac:dyDescent="0.2">
      <c r="B269" s="46" t="s">
        <v>410</v>
      </c>
      <c r="D269" s="61">
        <f>J19</f>
        <v>12.24744871391589</v>
      </c>
      <c r="E269" s="47"/>
      <c r="F269" s="80"/>
      <c r="G269" s="37"/>
      <c r="H269" s="37"/>
      <c r="I269" s="37"/>
      <c r="K269" s="37"/>
    </row>
    <row r="270" spans="2:11" ht="12.75" customHeight="1" x14ac:dyDescent="0.2">
      <c r="B270" s="46" t="s">
        <v>425</v>
      </c>
      <c r="D270" s="61">
        <f>J19</f>
        <v>12.24744871391589</v>
      </c>
      <c r="E270" s="47"/>
      <c r="F270" s="80"/>
      <c r="G270" s="37"/>
      <c r="H270" s="37"/>
      <c r="I270" s="37"/>
      <c r="K270" s="37"/>
    </row>
    <row r="271" spans="2:11" ht="12.75" customHeight="1" x14ac:dyDescent="0.2">
      <c r="B271" s="46" t="s">
        <v>426</v>
      </c>
      <c r="D271" s="61">
        <f>K20</f>
        <v>10.954451150103322</v>
      </c>
      <c r="E271" s="47"/>
      <c r="F271" s="80"/>
      <c r="G271" s="37"/>
      <c r="H271" s="37"/>
      <c r="I271" s="37"/>
      <c r="K271" s="37"/>
    </row>
    <row r="272" spans="2:11" ht="12.75" customHeight="1" x14ac:dyDescent="0.2">
      <c r="B272" s="46" t="s">
        <v>429</v>
      </c>
      <c r="D272" s="61">
        <f>K20</f>
        <v>10.954451150103322</v>
      </c>
      <c r="E272" s="47"/>
      <c r="F272" s="80"/>
      <c r="G272" s="37"/>
      <c r="H272" s="37"/>
      <c r="I272" s="37"/>
      <c r="K272" s="37"/>
    </row>
    <row r="273" spans="2:11" ht="12.75" customHeight="1" x14ac:dyDescent="0.2">
      <c r="B273" s="46" t="s">
        <v>360</v>
      </c>
      <c r="E273" s="47"/>
      <c r="F273" s="80"/>
      <c r="G273" s="37"/>
      <c r="H273" s="37"/>
      <c r="I273" s="37"/>
      <c r="K273" s="37"/>
    </row>
    <row r="274" spans="2:11" ht="12.75" customHeight="1" x14ac:dyDescent="0.2">
      <c r="B274" s="46" t="s">
        <v>366</v>
      </c>
      <c r="E274" s="47"/>
      <c r="F274" s="80"/>
      <c r="G274" s="37"/>
      <c r="H274" s="37"/>
      <c r="I274" s="37"/>
      <c r="K274" s="37"/>
    </row>
    <row r="275" spans="2:11" ht="12.75" customHeight="1" x14ac:dyDescent="0.2">
      <c r="B275" s="46" t="s">
        <v>367</v>
      </c>
      <c r="E275" s="47"/>
      <c r="F275" s="80"/>
      <c r="G275" s="37"/>
      <c r="H275" s="37"/>
      <c r="I275" s="37"/>
      <c r="K275" s="37"/>
    </row>
    <row r="276" spans="2:11" ht="12.75" customHeight="1" x14ac:dyDescent="0.2">
      <c r="B276" s="46" t="s">
        <v>368</v>
      </c>
      <c r="E276" s="47"/>
      <c r="F276" s="80"/>
      <c r="G276" s="37"/>
      <c r="H276" s="37"/>
      <c r="I276" s="37"/>
      <c r="K276" s="37"/>
    </row>
    <row r="277" spans="2:11" ht="12.75" customHeight="1" x14ac:dyDescent="0.2">
      <c r="B277" s="46" t="s">
        <v>322</v>
      </c>
      <c r="E277" s="47"/>
      <c r="F277" s="80"/>
      <c r="G277" s="37"/>
      <c r="H277" s="37"/>
      <c r="I277" s="37"/>
      <c r="K277" s="37"/>
    </row>
    <row r="278" spans="2:11" ht="12.75" customHeight="1" x14ac:dyDescent="0.2">
      <c r="B278" s="46" t="s">
        <v>323</v>
      </c>
      <c r="E278" s="47"/>
      <c r="F278" s="80"/>
      <c r="G278" s="37"/>
      <c r="H278" s="37"/>
      <c r="I278" s="37"/>
      <c r="K278" s="37"/>
    </row>
    <row r="279" spans="2:11" ht="12.75" customHeight="1" x14ac:dyDescent="0.2">
      <c r="B279" s="46" t="s">
        <v>335</v>
      </c>
      <c r="E279" s="47"/>
      <c r="F279" s="80"/>
      <c r="G279" s="37"/>
      <c r="H279" s="37"/>
      <c r="I279" s="37"/>
      <c r="K279" s="37"/>
    </row>
    <row r="280" spans="2:11" ht="12.75" customHeight="1" x14ac:dyDescent="0.2">
      <c r="B280" s="46" t="s">
        <v>324</v>
      </c>
      <c r="E280" s="47"/>
      <c r="F280" s="80"/>
      <c r="G280" s="37"/>
      <c r="H280" s="37"/>
      <c r="I280" s="37"/>
      <c r="K280" s="37"/>
    </row>
    <row r="281" spans="2:11" ht="12.75" customHeight="1" x14ac:dyDescent="0.2">
      <c r="B281" s="46" t="s">
        <v>336</v>
      </c>
      <c r="E281" s="47"/>
      <c r="F281" s="80"/>
      <c r="G281" s="37"/>
      <c r="H281" s="37"/>
      <c r="I281" s="37"/>
      <c r="K281" s="37"/>
    </row>
    <row r="282" spans="2:11" ht="12.75" customHeight="1" x14ac:dyDescent="0.2">
      <c r="B282" s="46" t="s">
        <v>337</v>
      </c>
      <c r="E282" s="47"/>
      <c r="F282" s="80"/>
      <c r="G282" s="37"/>
      <c r="H282" s="37"/>
      <c r="I282" s="37"/>
      <c r="K282" s="37"/>
    </row>
    <row r="283" spans="2:11" ht="12.75" customHeight="1" thickBot="1" x14ac:dyDescent="0.25">
      <c r="B283" s="48" t="s">
        <v>12</v>
      </c>
      <c r="C283" s="49"/>
      <c r="D283" s="49"/>
      <c r="E283" s="50"/>
      <c r="F283" s="82"/>
      <c r="G283" s="37"/>
      <c r="H283" s="37"/>
      <c r="I283" s="37"/>
      <c r="K283" s="37"/>
    </row>
  </sheetData>
  <sheetProtection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A0C71-0241-4E0D-A612-38BA88482EFE}">
  <sheetPr codeName="Sheet13"/>
  <dimension ref="B1:L90"/>
  <sheetViews>
    <sheetView zoomScaleNormal="100" workbookViewId="0">
      <selection activeCell="E3" sqref="E3"/>
    </sheetView>
  </sheetViews>
  <sheetFormatPr defaultColWidth="18.7109375" defaultRowHeight="12.75" x14ac:dyDescent="0.2"/>
  <cols>
    <col min="1" max="1" width="2.7109375" style="5" customWidth="1"/>
    <col min="2" max="2" width="20.7109375" style="5" customWidth="1"/>
    <col min="3" max="3" width="15.28515625" style="5" customWidth="1"/>
    <col min="4" max="4" width="22.7109375" style="5" customWidth="1"/>
    <col min="5" max="5" width="18.7109375" style="5"/>
    <col min="6" max="6" width="18.7109375" style="5" customWidth="1"/>
    <col min="7" max="16384" width="18.7109375" style="5"/>
  </cols>
  <sheetData>
    <row r="1" spans="2:9" x14ac:dyDescent="0.2">
      <c r="B1" s="5" t="s">
        <v>214</v>
      </c>
    </row>
    <row r="3" spans="2:9" x14ac:dyDescent="0.2">
      <c r="B3" s="5" t="s">
        <v>50</v>
      </c>
      <c r="E3" s="8" t="s">
        <v>283</v>
      </c>
    </row>
    <row r="4" spans="2:9" x14ac:dyDescent="0.2">
      <c r="B4" s="7" t="s">
        <v>51</v>
      </c>
      <c r="C4" s="2"/>
      <c r="D4" s="2"/>
      <c r="E4" s="2"/>
      <c r="G4" s="5" t="s">
        <v>55</v>
      </c>
    </row>
    <row r="5" spans="2:9" x14ac:dyDescent="0.2">
      <c r="B5" s="2" t="s">
        <v>284</v>
      </c>
      <c r="C5" s="2"/>
      <c r="D5" s="2"/>
      <c r="E5" s="2"/>
      <c r="F5" s="2"/>
      <c r="G5" s="5" t="s">
        <v>56</v>
      </c>
    </row>
    <row r="6" spans="2:9" x14ac:dyDescent="0.2">
      <c r="B6" s="5" t="s">
        <v>78</v>
      </c>
    </row>
    <row r="7" spans="2:9" x14ac:dyDescent="0.2">
      <c r="B7" s="5" t="s">
        <v>49</v>
      </c>
    </row>
    <row r="8" spans="2:9" x14ac:dyDescent="0.2">
      <c r="B8" s="5" t="s">
        <v>69</v>
      </c>
    </row>
    <row r="9" spans="2:9" x14ac:dyDescent="0.2">
      <c r="B9" s="5" t="s">
        <v>42</v>
      </c>
    </row>
    <row r="10" spans="2:9" x14ac:dyDescent="0.2">
      <c r="B10" s="5" t="s">
        <v>52</v>
      </c>
      <c r="D10" s="13" t="s">
        <v>149</v>
      </c>
    </row>
    <row r="11" spans="2:9" ht="13.5" thickBot="1" x14ac:dyDescent="0.25">
      <c r="B11" s="5" t="s">
        <v>53</v>
      </c>
      <c r="E11" s="5" t="s">
        <v>57</v>
      </c>
      <c r="F11" s="5" t="s">
        <v>58</v>
      </c>
      <c r="G11" s="5" t="s">
        <v>59</v>
      </c>
    </row>
    <row r="12" spans="2:9" ht="13.5" thickBot="1" x14ac:dyDescent="0.25">
      <c r="B12" s="5" t="s">
        <v>54</v>
      </c>
      <c r="E12" s="22">
        <v>20</v>
      </c>
      <c r="F12" s="22">
        <v>20000</v>
      </c>
      <c r="G12" s="51">
        <f>SQRT(2-((1+E12/F12)/(1-E12/F12))^2)</f>
        <v>0.99799398193775701</v>
      </c>
    </row>
    <row r="13" spans="2:9" x14ac:dyDescent="0.2">
      <c r="E13" s="33"/>
      <c r="F13" s="33"/>
    </row>
    <row r="14" spans="2:9" x14ac:dyDescent="0.2">
      <c r="E14" s="5" t="s">
        <v>0</v>
      </c>
      <c r="F14" s="5" t="s">
        <v>0</v>
      </c>
      <c r="G14" s="5" t="s">
        <v>33</v>
      </c>
      <c r="H14" s="5" t="s">
        <v>33</v>
      </c>
      <c r="I14" s="5" t="s">
        <v>60</v>
      </c>
    </row>
    <row r="15" spans="2:9" ht="13.5" thickBot="1" x14ac:dyDescent="0.25">
      <c r="E15" s="5" t="s">
        <v>61</v>
      </c>
      <c r="F15" s="5" t="s">
        <v>13</v>
      </c>
      <c r="G15" s="5" t="s">
        <v>61</v>
      </c>
      <c r="H15" s="5" t="s">
        <v>13</v>
      </c>
      <c r="I15" s="5" t="s">
        <v>62</v>
      </c>
    </row>
    <row r="16" spans="2:9" ht="13.5" thickBot="1" x14ac:dyDescent="0.25">
      <c r="E16" s="22">
        <v>1800</v>
      </c>
      <c r="F16" s="22">
        <v>50</v>
      </c>
      <c r="G16" s="22">
        <v>4</v>
      </c>
      <c r="H16" s="22">
        <v>0.1</v>
      </c>
      <c r="I16" s="22">
        <v>0.4</v>
      </c>
    </row>
    <row r="17" spans="2:12" x14ac:dyDescent="0.2">
      <c r="L17" s="52"/>
    </row>
    <row r="18" spans="2:12" ht="13.5" thickBot="1" x14ac:dyDescent="0.25"/>
    <row r="19" spans="2:12" x14ac:dyDescent="0.2">
      <c r="B19" s="43" t="s">
        <v>63</v>
      </c>
      <c r="C19" s="44"/>
      <c r="D19" s="45"/>
    </row>
    <row r="20" spans="2:12" x14ac:dyDescent="0.2">
      <c r="B20" s="46" t="s">
        <v>8</v>
      </c>
      <c r="D20" s="47"/>
    </row>
    <row r="21" spans="2:12" x14ac:dyDescent="0.2">
      <c r="B21" s="46" t="s">
        <v>7</v>
      </c>
      <c r="D21" s="47"/>
    </row>
    <row r="22" spans="2:12" x14ac:dyDescent="0.2">
      <c r="B22" s="46" t="s">
        <v>41</v>
      </c>
      <c r="D22" s="47"/>
    </row>
    <row r="23" spans="2:12" x14ac:dyDescent="0.2">
      <c r="B23" s="46" t="s">
        <v>8</v>
      </c>
      <c r="D23" s="47"/>
    </row>
    <row r="24" spans="2:12" x14ac:dyDescent="0.2">
      <c r="B24" s="46" t="s">
        <v>80</v>
      </c>
      <c r="C24" s="61">
        <f>E16</f>
        <v>1800</v>
      </c>
      <c r="D24" s="47"/>
    </row>
    <row r="25" spans="2:12" x14ac:dyDescent="0.2">
      <c r="B25" s="46" t="s">
        <v>81</v>
      </c>
      <c r="C25" s="61">
        <f>G16</f>
        <v>4</v>
      </c>
      <c r="D25" s="47"/>
    </row>
    <row r="26" spans="2:12" x14ac:dyDescent="0.2">
      <c r="B26" s="46" t="s">
        <v>8</v>
      </c>
      <c r="D26" s="47"/>
    </row>
    <row r="27" spans="2:12" x14ac:dyDescent="0.2">
      <c r="B27" s="46" t="s">
        <v>64</v>
      </c>
      <c r="D27" s="47"/>
    </row>
    <row r="28" spans="2:12" x14ac:dyDescent="0.2">
      <c r="B28" s="46" t="s">
        <v>8</v>
      </c>
      <c r="D28" s="47"/>
    </row>
    <row r="29" spans="2:12" x14ac:dyDescent="0.2">
      <c r="B29" s="46" t="s">
        <v>408</v>
      </c>
      <c r="C29" s="61">
        <f>(E16+F16)*(1-E12/F12)/(4*PI()*E12)</f>
        <v>7.3535552018821599</v>
      </c>
      <c r="D29" s="47"/>
    </row>
    <row r="30" spans="2:12" x14ac:dyDescent="0.2">
      <c r="B30" s="46" t="s">
        <v>430</v>
      </c>
      <c r="C30" s="61">
        <f>C29*((G16+H16)/(E16+F16))</f>
        <v>1.6297068285252351E-2</v>
      </c>
      <c r="D30" s="47"/>
    </row>
    <row r="31" spans="2:12" x14ac:dyDescent="0.2">
      <c r="B31" s="46" t="s">
        <v>410</v>
      </c>
      <c r="C31" s="61">
        <f>F16</f>
        <v>50</v>
      </c>
      <c r="D31" s="47"/>
    </row>
    <row r="32" spans="2:12" x14ac:dyDescent="0.2">
      <c r="B32" s="46" t="s">
        <v>431</v>
      </c>
      <c r="C32" s="61">
        <f>H16</f>
        <v>0.1</v>
      </c>
      <c r="D32" s="47"/>
    </row>
    <row r="33" spans="2:4" x14ac:dyDescent="0.2">
      <c r="B33" s="46" t="s">
        <v>342</v>
      </c>
      <c r="C33" s="5">
        <f>G12</f>
        <v>0.99799398193775701</v>
      </c>
      <c r="D33" s="47"/>
    </row>
    <row r="34" spans="2:4" ht="14.25" customHeight="1" thickBot="1" x14ac:dyDescent="0.25">
      <c r="B34" s="48" t="s">
        <v>12</v>
      </c>
      <c r="C34" s="49"/>
      <c r="D34" s="50"/>
    </row>
    <row r="35" spans="2:4" ht="14.25" customHeight="1" x14ac:dyDescent="0.2"/>
    <row r="36" spans="2:4" ht="13.5" thickBot="1" x14ac:dyDescent="0.25"/>
    <row r="37" spans="2:4" x14ac:dyDescent="0.2">
      <c r="B37" s="43" t="s">
        <v>65</v>
      </c>
      <c r="C37" s="44"/>
      <c r="D37" s="45"/>
    </row>
    <row r="38" spans="2:4" x14ac:dyDescent="0.2">
      <c r="B38" s="46" t="s">
        <v>8</v>
      </c>
      <c r="D38" s="47"/>
    </row>
    <row r="39" spans="2:4" x14ac:dyDescent="0.2">
      <c r="B39" s="46" t="s">
        <v>7</v>
      </c>
      <c r="D39" s="47"/>
    </row>
    <row r="40" spans="2:4" x14ac:dyDescent="0.2">
      <c r="B40" s="46" t="s">
        <v>41</v>
      </c>
      <c r="D40" s="47"/>
    </row>
    <row r="41" spans="2:4" x14ac:dyDescent="0.2">
      <c r="B41" s="46" t="s">
        <v>8</v>
      </c>
      <c r="D41" s="47"/>
    </row>
    <row r="42" spans="2:4" x14ac:dyDescent="0.2">
      <c r="B42" s="46" t="s">
        <v>82</v>
      </c>
      <c r="C42" s="61">
        <f>E16</f>
        <v>1800</v>
      </c>
      <c r="D42" s="47"/>
    </row>
    <row r="43" spans="2:4" x14ac:dyDescent="0.2">
      <c r="B43" s="46" t="s">
        <v>81</v>
      </c>
      <c r="C43" s="61">
        <f>G16</f>
        <v>4</v>
      </c>
      <c r="D43" s="47"/>
    </row>
    <row r="44" spans="2:4" x14ac:dyDescent="0.2">
      <c r="B44" s="46" t="s">
        <v>8</v>
      </c>
      <c r="D44" s="47"/>
    </row>
    <row r="45" spans="2:4" x14ac:dyDescent="0.2">
      <c r="B45" s="46" t="s">
        <v>66</v>
      </c>
      <c r="D45" s="47"/>
    </row>
    <row r="46" spans="2:4" x14ac:dyDescent="0.2">
      <c r="B46" s="46" t="s">
        <v>8</v>
      </c>
      <c r="D46" s="47"/>
    </row>
    <row r="47" spans="2:4" x14ac:dyDescent="0.2">
      <c r="B47" s="46" t="s">
        <v>432</v>
      </c>
      <c r="C47" s="61">
        <f>C29/4</f>
        <v>1.83838880047054</v>
      </c>
      <c r="D47" s="47"/>
    </row>
    <row r="48" spans="2:4" x14ac:dyDescent="0.2">
      <c r="B48" s="46" t="s">
        <v>424</v>
      </c>
      <c r="C48" s="61">
        <f>C29/4</f>
        <v>1.83838880047054</v>
      </c>
      <c r="D48" s="47"/>
    </row>
    <row r="49" spans="2:4" x14ac:dyDescent="0.2">
      <c r="B49" s="46" t="s">
        <v>433</v>
      </c>
      <c r="C49" s="61">
        <f>C30</f>
        <v>1.6297068285252351E-2</v>
      </c>
      <c r="D49" s="47"/>
    </row>
    <row r="50" spans="2:4" x14ac:dyDescent="0.2">
      <c r="B50" s="46" t="s">
        <v>410</v>
      </c>
      <c r="C50" s="61">
        <f>F16/2</f>
        <v>25</v>
      </c>
      <c r="D50" s="47"/>
    </row>
    <row r="51" spans="2:4" x14ac:dyDescent="0.2">
      <c r="B51" s="46" t="s">
        <v>434</v>
      </c>
      <c r="C51" s="61">
        <f>F16/2</f>
        <v>25</v>
      </c>
      <c r="D51" s="47"/>
    </row>
    <row r="52" spans="2:4" x14ac:dyDescent="0.2">
      <c r="B52" s="46" t="s">
        <v>435</v>
      </c>
      <c r="C52" s="61">
        <f>C32</f>
        <v>0.1</v>
      </c>
      <c r="D52" s="47"/>
    </row>
    <row r="53" spans="2:4" x14ac:dyDescent="0.2">
      <c r="B53" s="46" t="s">
        <v>343</v>
      </c>
      <c r="C53" s="5">
        <f>G12</f>
        <v>0.99799398193775701</v>
      </c>
      <c r="D53" s="47"/>
    </row>
    <row r="54" spans="2:4" x14ac:dyDescent="0.2">
      <c r="B54" s="46" t="s">
        <v>344</v>
      </c>
      <c r="C54" s="5">
        <f>G12</f>
        <v>0.99799398193775701</v>
      </c>
      <c r="D54" s="47"/>
    </row>
    <row r="55" spans="2:4" x14ac:dyDescent="0.2">
      <c r="B55" s="46" t="s">
        <v>345</v>
      </c>
      <c r="C55" s="5">
        <f>G12</f>
        <v>0.99799398193775701</v>
      </c>
      <c r="D55" s="47"/>
    </row>
    <row r="56" spans="2:4" ht="13.5" thickBot="1" x14ac:dyDescent="0.25">
      <c r="B56" s="48" t="s">
        <v>12</v>
      </c>
      <c r="C56" s="49"/>
      <c r="D56" s="50"/>
    </row>
    <row r="58" spans="2:4" ht="13.5" thickBot="1" x14ac:dyDescent="0.25"/>
    <row r="59" spans="2:4" x14ac:dyDescent="0.2">
      <c r="B59" s="43" t="s">
        <v>67</v>
      </c>
      <c r="C59" s="44"/>
      <c r="D59" s="45"/>
    </row>
    <row r="60" spans="2:4" x14ac:dyDescent="0.2">
      <c r="B60" s="46" t="s">
        <v>8</v>
      </c>
      <c r="D60" s="47"/>
    </row>
    <row r="61" spans="2:4" x14ac:dyDescent="0.2">
      <c r="B61" s="46" t="s">
        <v>7</v>
      </c>
      <c r="D61" s="47"/>
    </row>
    <row r="62" spans="2:4" x14ac:dyDescent="0.2">
      <c r="B62" s="46" t="s">
        <v>41</v>
      </c>
      <c r="D62" s="47"/>
    </row>
    <row r="63" spans="2:4" x14ac:dyDescent="0.2">
      <c r="B63" s="46" t="s">
        <v>8</v>
      </c>
      <c r="D63" s="47"/>
    </row>
    <row r="64" spans="2:4" x14ac:dyDescent="0.2">
      <c r="B64" s="46" t="s">
        <v>369</v>
      </c>
      <c r="C64" s="61">
        <f>E16</f>
        <v>1800</v>
      </c>
      <c r="D64" s="47"/>
    </row>
    <row r="65" spans="2:4" x14ac:dyDescent="0.2">
      <c r="B65" s="46" t="s">
        <v>81</v>
      </c>
      <c r="C65" s="61">
        <f>G16</f>
        <v>4</v>
      </c>
      <c r="D65" s="47"/>
    </row>
    <row r="66" spans="2:4" x14ac:dyDescent="0.2">
      <c r="B66" s="46" t="s">
        <v>79</v>
      </c>
      <c r="C66" s="61">
        <f>I16</f>
        <v>0.4</v>
      </c>
      <c r="D66" s="47"/>
    </row>
    <row r="67" spans="2:4" x14ac:dyDescent="0.2">
      <c r="B67" s="46" t="s">
        <v>8</v>
      </c>
      <c r="D67" s="47"/>
    </row>
    <row r="68" spans="2:4" x14ac:dyDescent="0.2">
      <c r="B68" s="46" t="s">
        <v>68</v>
      </c>
      <c r="D68" s="47"/>
    </row>
    <row r="69" spans="2:4" x14ac:dyDescent="0.2">
      <c r="B69" s="46" t="s">
        <v>8</v>
      </c>
      <c r="D69" s="47"/>
    </row>
    <row r="70" spans="2:4" x14ac:dyDescent="0.2">
      <c r="B70" s="46" t="s">
        <v>436</v>
      </c>
      <c r="C70" s="61">
        <f>(C29)*(1-I16)^2/4</f>
        <v>0.66181996816939437</v>
      </c>
      <c r="D70" s="47"/>
    </row>
    <row r="71" spans="2:4" x14ac:dyDescent="0.2">
      <c r="B71" s="46" t="s">
        <v>437</v>
      </c>
      <c r="C71" s="61">
        <f>(C29)*I16^2/4</f>
        <v>0.29414220807528646</v>
      </c>
      <c r="D71" s="47"/>
    </row>
    <row r="72" spans="2:4" x14ac:dyDescent="0.2">
      <c r="B72" s="46" t="s">
        <v>438</v>
      </c>
      <c r="C72" s="61">
        <f>(C29)*I16^2/4</f>
        <v>0.29414220807528646</v>
      </c>
      <c r="D72" s="47"/>
    </row>
    <row r="73" spans="2:4" x14ac:dyDescent="0.2">
      <c r="B73" s="46" t="s">
        <v>439</v>
      </c>
      <c r="C73" s="61">
        <f>(C29)*(1-I16)^2/4</f>
        <v>0.66181996816939437</v>
      </c>
      <c r="D73" s="47"/>
    </row>
    <row r="74" spans="2:4" x14ac:dyDescent="0.2">
      <c r="B74" s="46" t="s">
        <v>440</v>
      </c>
      <c r="C74" s="61">
        <f>C30</f>
        <v>1.6297068285252351E-2</v>
      </c>
      <c r="D74" s="47"/>
    </row>
    <row r="75" spans="2:4" x14ac:dyDescent="0.2">
      <c r="B75" s="46" t="s">
        <v>410</v>
      </c>
      <c r="C75" s="61">
        <f>(F16/2)-((F16/2)*I16)</f>
        <v>15</v>
      </c>
      <c r="D75" s="47"/>
    </row>
    <row r="76" spans="2:4" x14ac:dyDescent="0.2">
      <c r="B76" s="46" t="s">
        <v>441</v>
      </c>
      <c r="C76" s="61">
        <f>(F16/2)*I16</f>
        <v>10</v>
      </c>
      <c r="D76" s="47"/>
    </row>
    <row r="77" spans="2:4" x14ac:dyDescent="0.2">
      <c r="B77" s="46" t="s">
        <v>442</v>
      </c>
      <c r="C77" s="61">
        <f>(F16/2)*I16</f>
        <v>10</v>
      </c>
      <c r="D77" s="47"/>
    </row>
    <row r="78" spans="2:4" x14ac:dyDescent="0.2">
      <c r="B78" s="46" t="s">
        <v>443</v>
      </c>
      <c r="C78" s="61">
        <f>(F16/2)-((F16/2)*I16)</f>
        <v>15</v>
      </c>
      <c r="D78" s="47"/>
    </row>
    <row r="79" spans="2:4" x14ac:dyDescent="0.2">
      <c r="B79" s="46" t="s">
        <v>444</v>
      </c>
      <c r="C79" s="61">
        <f>C32</f>
        <v>0.1</v>
      </c>
      <c r="D79" s="47"/>
    </row>
    <row r="80" spans="2:4" x14ac:dyDescent="0.2">
      <c r="B80" s="46" t="s">
        <v>342</v>
      </c>
      <c r="C80" s="5">
        <f>G12</f>
        <v>0.99799398193775701</v>
      </c>
      <c r="D80" s="47"/>
    </row>
    <row r="81" spans="2:4" x14ac:dyDescent="0.2">
      <c r="B81" s="46" t="s">
        <v>344</v>
      </c>
      <c r="C81" s="5">
        <f>G12</f>
        <v>0.99799398193775701</v>
      </c>
      <c r="D81" s="47"/>
    </row>
    <row r="82" spans="2:4" x14ac:dyDescent="0.2">
      <c r="B82" s="46" t="s">
        <v>346</v>
      </c>
      <c r="C82" s="5">
        <f>G12</f>
        <v>0.99799398193775701</v>
      </c>
      <c r="D82" s="47"/>
    </row>
    <row r="83" spans="2:4" x14ac:dyDescent="0.2">
      <c r="B83" s="46" t="s">
        <v>347</v>
      </c>
      <c r="C83" s="5">
        <f>G12</f>
        <v>0.99799398193775701</v>
      </c>
      <c r="D83" s="47"/>
    </row>
    <row r="84" spans="2:4" x14ac:dyDescent="0.2">
      <c r="B84" s="46" t="s">
        <v>345</v>
      </c>
      <c r="C84" s="5">
        <f>G12</f>
        <v>0.99799398193775701</v>
      </c>
      <c r="D84" s="47"/>
    </row>
    <row r="85" spans="2:4" x14ac:dyDescent="0.2">
      <c r="B85" s="46" t="s">
        <v>348</v>
      </c>
      <c r="C85" s="5">
        <f>G12</f>
        <v>0.99799398193775701</v>
      </c>
      <c r="D85" s="47"/>
    </row>
    <row r="86" spans="2:4" x14ac:dyDescent="0.2">
      <c r="B86" s="46" t="s">
        <v>349</v>
      </c>
      <c r="C86" s="5">
        <f>G12</f>
        <v>0.99799398193775701</v>
      </c>
      <c r="D86" s="47"/>
    </row>
    <row r="87" spans="2:4" x14ac:dyDescent="0.2">
      <c r="B87" s="46" t="s">
        <v>350</v>
      </c>
      <c r="C87" s="5">
        <f>G12</f>
        <v>0.99799398193775701</v>
      </c>
      <c r="D87" s="47"/>
    </row>
    <row r="88" spans="2:4" x14ac:dyDescent="0.2">
      <c r="B88" s="46" t="s">
        <v>351</v>
      </c>
      <c r="C88" s="5">
        <f>G12</f>
        <v>0.99799398193775701</v>
      </c>
      <c r="D88" s="47"/>
    </row>
    <row r="89" spans="2:4" x14ac:dyDescent="0.2">
      <c r="B89" s="46" t="s">
        <v>352</v>
      </c>
      <c r="C89" s="5">
        <f>G12</f>
        <v>0.99799398193775701</v>
      </c>
      <c r="D89" s="47"/>
    </row>
    <row r="90" spans="2:4" ht="13.5" thickBot="1" x14ac:dyDescent="0.25">
      <c r="B90" s="48" t="s">
        <v>12</v>
      </c>
      <c r="C90" s="49"/>
      <c r="D90" s="50"/>
    </row>
  </sheetData>
  <sheetProtection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8B086-B193-42FB-98D2-83EDAEBA6452}">
  <sheetPr codeName="Sheet14"/>
  <dimension ref="A1:I96"/>
  <sheetViews>
    <sheetView workbookViewId="0">
      <selection activeCell="E3" sqref="E3"/>
    </sheetView>
  </sheetViews>
  <sheetFormatPr defaultColWidth="10.7109375" defaultRowHeight="12.75" x14ac:dyDescent="0.2"/>
  <cols>
    <col min="1" max="2" width="10.7109375" style="5"/>
    <col min="3" max="3" width="18.7109375" style="5" customWidth="1"/>
    <col min="4" max="4" width="12.7109375" style="5" customWidth="1"/>
    <col min="5" max="5" width="14.7109375" style="5" customWidth="1"/>
    <col min="6" max="6" width="10.7109375" style="5"/>
    <col min="7" max="8" width="15.7109375" style="5" customWidth="1"/>
    <col min="9" max="16384" width="10.7109375" style="5"/>
  </cols>
  <sheetData>
    <row r="1" spans="1:9" ht="12.75" customHeight="1" x14ac:dyDescent="0.2">
      <c r="A1" s="5" t="s">
        <v>370</v>
      </c>
    </row>
    <row r="2" spans="1:9" ht="12.75" customHeight="1" thickBot="1" x14ac:dyDescent="0.25">
      <c r="A2" s="5" t="s">
        <v>371</v>
      </c>
    </row>
    <row r="3" spans="1:9" ht="12.75" customHeight="1" thickBot="1" x14ac:dyDescent="0.25">
      <c r="A3" s="5" t="s">
        <v>372</v>
      </c>
      <c r="E3" s="53" t="s">
        <v>283</v>
      </c>
    </row>
    <row r="4" spans="1:9" ht="12.75" customHeight="1" x14ac:dyDescent="0.2">
      <c r="G4" s="5" t="s">
        <v>373</v>
      </c>
    </row>
    <row r="5" spans="1:9" ht="12.75" customHeight="1" x14ac:dyDescent="0.2">
      <c r="E5" s="13" t="s">
        <v>149</v>
      </c>
      <c r="G5" s="5" t="s">
        <v>374</v>
      </c>
    </row>
    <row r="6" spans="1:9" ht="12.75" customHeight="1" thickBot="1" x14ac:dyDescent="0.25"/>
    <row r="7" spans="1:9" ht="12.75" customHeight="1" thickBot="1" x14ac:dyDescent="0.25">
      <c r="C7" s="5" t="s">
        <v>375</v>
      </c>
      <c r="D7" s="76">
        <v>0.23400000000000001</v>
      </c>
      <c r="E7" s="5" t="s">
        <v>407</v>
      </c>
    </row>
    <row r="8" spans="1:9" ht="12.75" customHeight="1" thickBot="1" x14ac:dyDescent="0.25">
      <c r="D8" s="54"/>
    </row>
    <row r="9" spans="1:9" ht="12.75" customHeight="1" thickBot="1" x14ac:dyDescent="0.25">
      <c r="C9" s="5" t="s">
        <v>376</v>
      </c>
      <c r="D9" s="16">
        <v>10</v>
      </c>
      <c r="E9" s="5" t="s">
        <v>377</v>
      </c>
      <c r="H9" s="5" t="s">
        <v>378</v>
      </c>
      <c r="I9" s="5" t="s">
        <v>379</v>
      </c>
    </row>
    <row r="10" spans="1:9" ht="12.75" customHeight="1" x14ac:dyDescent="0.2">
      <c r="D10" s="55"/>
      <c r="H10" s="5" t="s">
        <v>380</v>
      </c>
      <c r="I10" s="5">
        <f>PI()/180</f>
        <v>1.7453292519943295E-2</v>
      </c>
    </row>
    <row r="11" spans="1:9" ht="12.75" customHeight="1" x14ac:dyDescent="0.2">
      <c r="C11" s="5" t="s">
        <v>381</v>
      </c>
      <c r="D11" s="77">
        <v>36</v>
      </c>
      <c r="E11" s="5" t="s">
        <v>382</v>
      </c>
    </row>
    <row r="12" spans="1:9" ht="12.75" customHeight="1" thickBot="1" x14ac:dyDescent="0.25">
      <c r="D12" s="55"/>
    </row>
    <row r="13" spans="1:9" ht="12.75" customHeight="1" thickBot="1" x14ac:dyDescent="0.25">
      <c r="C13" s="5" t="s">
        <v>383</v>
      </c>
      <c r="D13" s="76">
        <v>0</v>
      </c>
      <c r="E13" s="5" t="s">
        <v>384</v>
      </c>
    </row>
    <row r="14" spans="1:9" ht="12.75" customHeight="1" x14ac:dyDescent="0.2">
      <c r="D14" s="33"/>
    </row>
    <row r="15" spans="1:9" ht="12.75" customHeight="1" x14ac:dyDescent="0.2">
      <c r="C15" s="5" t="s">
        <v>149</v>
      </c>
      <c r="D15" s="5" t="s">
        <v>149</v>
      </c>
      <c r="E15" s="5" t="s">
        <v>149</v>
      </c>
    </row>
    <row r="16" spans="1:9" ht="12.75" customHeight="1" x14ac:dyDescent="0.2">
      <c r="A16" s="5" t="s">
        <v>385</v>
      </c>
      <c r="B16" s="5" t="s">
        <v>386</v>
      </c>
      <c r="C16" s="5" t="s">
        <v>387</v>
      </c>
      <c r="D16" s="5" t="s">
        <v>388</v>
      </c>
      <c r="E16" s="5" t="s">
        <v>389</v>
      </c>
      <c r="G16" s="33"/>
      <c r="H16" s="33"/>
    </row>
    <row r="18" spans="1:5" ht="12.75" customHeight="1" x14ac:dyDescent="0.2">
      <c r="A18" s="5">
        <v>1</v>
      </c>
      <c r="B18" s="5" t="s">
        <v>390</v>
      </c>
      <c r="C18" s="77">
        <f>COS(E18)*D7</f>
        <v>0.18930997668373772</v>
      </c>
      <c r="D18" s="77">
        <f>D11+D13</f>
        <v>36</v>
      </c>
      <c r="E18" s="77">
        <f>RADIANS(D18)</f>
        <v>0.62831853071795862</v>
      </c>
    </row>
    <row r="19" spans="1:5" ht="12.75" customHeight="1" x14ac:dyDescent="0.2">
      <c r="A19" s="5">
        <v>1</v>
      </c>
      <c r="B19" s="5" t="s">
        <v>391</v>
      </c>
      <c r="C19" s="77">
        <f>COS(E19)*D7</f>
        <v>0.18930997668373772</v>
      </c>
      <c r="D19" s="77">
        <f>D11+D13</f>
        <v>36</v>
      </c>
      <c r="E19" s="77">
        <f>RADIANS(D19)</f>
        <v>0.62831853071795862</v>
      </c>
    </row>
    <row r="20" spans="1:5" ht="12.75" customHeight="1" x14ac:dyDescent="0.2">
      <c r="A20" s="5">
        <v>1</v>
      </c>
      <c r="B20" s="5" t="s">
        <v>392</v>
      </c>
      <c r="C20" s="77">
        <f>SIN(E20)*D7</f>
        <v>0.13754174903643873</v>
      </c>
      <c r="D20" s="77">
        <f>D11+D13</f>
        <v>36</v>
      </c>
      <c r="E20" s="77">
        <f>RADIANS(D20)</f>
        <v>0.62831853071795862</v>
      </c>
    </row>
    <row r="21" spans="1:5" ht="12.75" customHeight="1" x14ac:dyDescent="0.2">
      <c r="A21" s="5">
        <v>1</v>
      </c>
      <c r="B21" s="5" t="s">
        <v>393</v>
      </c>
      <c r="C21" s="77">
        <f>SIN(E21)*D7</f>
        <v>0.13754174903643873</v>
      </c>
      <c r="D21" s="77">
        <f>D11+D13</f>
        <v>36</v>
      </c>
      <c r="E21" s="77">
        <f>RADIANS(D21)</f>
        <v>0.62831853071795862</v>
      </c>
    </row>
    <row r="22" spans="1:5" ht="12.75" customHeight="1" x14ac:dyDescent="0.2">
      <c r="C22" s="55"/>
      <c r="D22" s="55"/>
      <c r="E22" s="55"/>
    </row>
    <row r="23" spans="1:5" ht="12.75" customHeight="1" x14ac:dyDescent="0.2">
      <c r="A23" s="5">
        <v>2</v>
      </c>
      <c r="B23" s="5" t="s">
        <v>390</v>
      </c>
      <c r="C23" s="77">
        <f>COS(E23)*D7</f>
        <v>7.2309976683737703E-2</v>
      </c>
      <c r="D23" s="77">
        <f>D11*2+D13</f>
        <v>72</v>
      </c>
      <c r="E23" s="77">
        <f>RADIANS(D23)</f>
        <v>1.2566370614359172</v>
      </c>
    </row>
    <row r="24" spans="1:5" ht="12.75" customHeight="1" x14ac:dyDescent="0.2">
      <c r="A24" s="5">
        <v>2</v>
      </c>
      <c r="B24" s="5" t="s">
        <v>391</v>
      </c>
      <c r="C24" s="77">
        <f>COS(E24)*D7</f>
        <v>7.2309976683737703E-2</v>
      </c>
      <c r="D24" s="77">
        <f>D11*2+D13</f>
        <v>72</v>
      </c>
      <c r="E24" s="77">
        <f>RADIANS(D24)</f>
        <v>1.2566370614359172</v>
      </c>
    </row>
    <row r="25" spans="1:5" ht="12.75" customHeight="1" x14ac:dyDescent="0.2">
      <c r="A25" s="5">
        <v>2</v>
      </c>
      <c r="B25" s="5" t="s">
        <v>392</v>
      </c>
      <c r="C25" s="77">
        <f>SIN(E25)*D7</f>
        <v>0.22254722481306594</v>
      </c>
      <c r="D25" s="77">
        <f>D11*2+D13</f>
        <v>72</v>
      </c>
      <c r="E25" s="77">
        <f>RADIANS(D25)</f>
        <v>1.2566370614359172</v>
      </c>
    </row>
    <row r="26" spans="1:5" ht="12.75" customHeight="1" x14ac:dyDescent="0.2">
      <c r="A26" s="5">
        <v>2</v>
      </c>
      <c r="B26" s="5" t="s">
        <v>393</v>
      </c>
      <c r="C26" s="77">
        <f>SIN(E26)*D7</f>
        <v>0.22254722481306594</v>
      </c>
      <c r="D26" s="77">
        <f>D11*2+D13</f>
        <v>72</v>
      </c>
      <c r="E26" s="77">
        <f>RADIANS(D26)</f>
        <v>1.2566370614359172</v>
      </c>
    </row>
    <row r="27" spans="1:5" ht="12.75" customHeight="1" x14ac:dyDescent="0.2">
      <c r="C27" s="55"/>
      <c r="D27" s="55"/>
      <c r="E27" s="55"/>
    </row>
    <row r="28" spans="1:5" ht="12.75" customHeight="1" x14ac:dyDescent="0.2">
      <c r="A28" s="5">
        <v>3</v>
      </c>
      <c r="B28" s="5" t="s">
        <v>390</v>
      </c>
      <c r="C28" s="77">
        <f>COS(E28)*D7</f>
        <v>-7.2309976683737676E-2</v>
      </c>
      <c r="D28" s="77">
        <f>D11*3+D13</f>
        <v>108</v>
      </c>
      <c r="E28" s="77">
        <f>RADIANS(D28)</f>
        <v>1.8849555921538759</v>
      </c>
    </row>
    <row r="29" spans="1:5" ht="12.75" customHeight="1" x14ac:dyDescent="0.2">
      <c r="A29" s="5">
        <v>3</v>
      </c>
      <c r="B29" s="5" t="s">
        <v>391</v>
      </c>
      <c r="C29" s="77">
        <f>COS(E29)*D7</f>
        <v>-7.2309976683737676E-2</v>
      </c>
      <c r="D29" s="77">
        <f>D11*3+D13</f>
        <v>108</v>
      </c>
      <c r="E29" s="77">
        <f>RADIANS(D29)</f>
        <v>1.8849555921538759</v>
      </c>
    </row>
    <row r="30" spans="1:5" ht="12.75" customHeight="1" x14ac:dyDescent="0.2">
      <c r="A30" s="5">
        <v>3</v>
      </c>
      <c r="B30" s="5" t="s">
        <v>392</v>
      </c>
      <c r="C30" s="77">
        <f>SIN(E30)*D7</f>
        <v>0.22254722481306596</v>
      </c>
      <c r="D30" s="77">
        <f>D11*3+D13</f>
        <v>108</v>
      </c>
      <c r="E30" s="77">
        <f>RADIANS(D30)</f>
        <v>1.8849555921538759</v>
      </c>
    </row>
    <row r="31" spans="1:5" ht="12.75" customHeight="1" x14ac:dyDescent="0.2">
      <c r="A31" s="5">
        <v>3</v>
      </c>
      <c r="B31" s="5" t="s">
        <v>393</v>
      </c>
      <c r="C31" s="77">
        <f>SIN(E31)*D7</f>
        <v>0.22254722481306596</v>
      </c>
      <c r="D31" s="77">
        <f>D11*3+D13</f>
        <v>108</v>
      </c>
      <c r="E31" s="77">
        <f>RADIANS(D31)</f>
        <v>1.8849555921538759</v>
      </c>
    </row>
    <row r="32" spans="1:5" ht="12.75" customHeight="1" x14ac:dyDescent="0.2">
      <c r="C32" s="55"/>
      <c r="D32" s="55"/>
      <c r="E32" s="55"/>
    </row>
    <row r="33" spans="1:5" ht="12.75" customHeight="1" x14ac:dyDescent="0.2">
      <c r="A33" s="5">
        <v>4</v>
      </c>
      <c r="B33" s="5" t="s">
        <v>390</v>
      </c>
      <c r="C33" s="77">
        <f>COS(E33)*D7</f>
        <v>-0.1893099766837377</v>
      </c>
      <c r="D33" s="77">
        <f>D11*4+D13</f>
        <v>144</v>
      </c>
      <c r="E33" s="77">
        <f>RADIANS(D33)</f>
        <v>2.5132741228718345</v>
      </c>
    </row>
    <row r="34" spans="1:5" ht="12.75" customHeight="1" x14ac:dyDescent="0.2">
      <c r="A34" s="5">
        <v>4</v>
      </c>
      <c r="B34" s="5" t="s">
        <v>391</v>
      </c>
      <c r="C34" s="77">
        <f>COS(E34)*D7</f>
        <v>-0.1893099766837377</v>
      </c>
      <c r="D34" s="77">
        <f>D11*4+D13</f>
        <v>144</v>
      </c>
      <c r="E34" s="77">
        <f>RADIANS(D34)</f>
        <v>2.5132741228718345</v>
      </c>
    </row>
    <row r="35" spans="1:5" ht="12.75" customHeight="1" x14ac:dyDescent="0.2">
      <c r="A35" s="5">
        <v>4</v>
      </c>
      <c r="B35" s="5" t="s">
        <v>392</v>
      </c>
      <c r="C35" s="77">
        <f>SIN(E35)*D7</f>
        <v>0.13754174903643876</v>
      </c>
      <c r="D35" s="77">
        <f>D11*4+D13</f>
        <v>144</v>
      </c>
      <c r="E35" s="77">
        <f>RADIANS(D35)</f>
        <v>2.5132741228718345</v>
      </c>
    </row>
    <row r="36" spans="1:5" ht="12.75" customHeight="1" x14ac:dyDescent="0.2">
      <c r="A36" s="5">
        <v>4</v>
      </c>
      <c r="B36" s="5" t="s">
        <v>393</v>
      </c>
      <c r="C36" s="77">
        <f>SIN(E36)*D7</f>
        <v>0.13754174903643876</v>
      </c>
      <c r="D36" s="77">
        <f>D11*4+D13</f>
        <v>144</v>
      </c>
      <c r="E36" s="77">
        <f>RADIANS(D36)</f>
        <v>2.5132741228718345</v>
      </c>
    </row>
    <row r="37" spans="1:5" ht="12.75" customHeight="1" x14ac:dyDescent="0.2">
      <c r="C37" s="55"/>
      <c r="D37" s="55"/>
      <c r="E37" s="55"/>
    </row>
    <row r="38" spans="1:5" ht="12.75" customHeight="1" x14ac:dyDescent="0.2">
      <c r="A38" s="5">
        <v>5</v>
      </c>
      <c r="B38" s="5" t="s">
        <v>390</v>
      </c>
      <c r="C38" s="77">
        <f>COS(E38)*D7</f>
        <v>-0.23400000000000001</v>
      </c>
      <c r="D38" s="77">
        <f>D11*5+D13</f>
        <v>180</v>
      </c>
      <c r="E38" s="77">
        <f>RADIANS(D38)</f>
        <v>3.1415926535897931</v>
      </c>
    </row>
    <row r="39" spans="1:5" ht="12.75" customHeight="1" x14ac:dyDescent="0.2">
      <c r="A39" s="5">
        <v>5</v>
      </c>
      <c r="B39" s="5" t="s">
        <v>391</v>
      </c>
      <c r="C39" s="77">
        <f>COS(E39)*D7</f>
        <v>-0.23400000000000001</v>
      </c>
      <c r="D39" s="77">
        <f>D11*5+D13</f>
        <v>180</v>
      </c>
      <c r="E39" s="77">
        <f>RADIANS(D39)</f>
        <v>3.1415926535897931</v>
      </c>
    </row>
    <row r="40" spans="1:5" ht="12.75" customHeight="1" x14ac:dyDescent="0.2">
      <c r="A40" s="5">
        <v>5</v>
      </c>
      <c r="B40" s="5" t="s">
        <v>392</v>
      </c>
      <c r="C40" s="77">
        <f>SIN(E40)*D7</f>
        <v>2.866847384486171E-17</v>
      </c>
      <c r="D40" s="77">
        <f>D11*5+D13</f>
        <v>180</v>
      </c>
      <c r="E40" s="77">
        <f>RADIANS(D40)</f>
        <v>3.1415926535897931</v>
      </c>
    </row>
    <row r="41" spans="1:5" ht="12.75" customHeight="1" x14ac:dyDescent="0.2">
      <c r="A41" s="5">
        <v>5</v>
      </c>
      <c r="B41" s="5" t="s">
        <v>393</v>
      </c>
      <c r="C41" s="77">
        <f>SIN(E41)*D7</f>
        <v>2.866847384486171E-17</v>
      </c>
      <c r="D41" s="77">
        <f>D11*5+D13</f>
        <v>180</v>
      </c>
      <c r="E41" s="77">
        <f>RADIANS(D41)</f>
        <v>3.1415926535897931</v>
      </c>
    </row>
    <row r="42" spans="1:5" ht="12.75" customHeight="1" x14ac:dyDescent="0.2">
      <c r="C42" s="55"/>
      <c r="D42" s="55"/>
      <c r="E42" s="55"/>
    </row>
    <row r="43" spans="1:5" ht="12.75" customHeight="1" x14ac:dyDescent="0.2">
      <c r="A43" s="5">
        <v>6</v>
      </c>
      <c r="B43" s="5" t="s">
        <v>390</v>
      </c>
      <c r="C43" s="77">
        <f>COS(E43)*D7</f>
        <v>-0.18930997668373775</v>
      </c>
      <c r="D43" s="77">
        <f>D11*6+D13</f>
        <v>216</v>
      </c>
      <c r="E43" s="77">
        <f>RADIANS(D43)</f>
        <v>3.7699111843077517</v>
      </c>
    </row>
    <row r="44" spans="1:5" ht="12.75" customHeight="1" x14ac:dyDescent="0.2">
      <c r="A44" s="5">
        <v>6</v>
      </c>
      <c r="B44" s="5" t="s">
        <v>391</v>
      </c>
      <c r="C44" s="77">
        <f>COS(E44)*D7</f>
        <v>-0.18930997668373775</v>
      </c>
      <c r="D44" s="77">
        <f>D11*6+D13</f>
        <v>216</v>
      </c>
      <c r="E44" s="77">
        <f>RADIANS(D44)</f>
        <v>3.7699111843077517</v>
      </c>
    </row>
    <row r="45" spans="1:5" ht="12.75" customHeight="1" x14ac:dyDescent="0.2">
      <c r="A45" s="5">
        <v>6</v>
      </c>
      <c r="B45" s="5" t="s">
        <v>392</v>
      </c>
      <c r="C45" s="77">
        <f>SIN(E45)*D7</f>
        <v>-0.1375417490364387</v>
      </c>
      <c r="D45" s="77">
        <f>D11*6+D13</f>
        <v>216</v>
      </c>
      <c r="E45" s="77">
        <f>RADIANS(D45)</f>
        <v>3.7699111843077517</v>
      </c>
    </row>
    <row r="46" spans="1:5" ht="12.75" customHeight="1" x14ac:dyDescent="0.2">
      <c r="A46" s="5">
        <v>6</v>
      </c>
      <c r="B46" s="5" t="s">
        <v>393</v>
      </c>
      <c r="C46" s="77">
        <f>SIN(E46)*D7</f>
        <v>-0.1375417490364387</v>
      </c>
      <c r="D46" s="77">
        <f>D11*6+D13</f>
        <v>216</v>
      </c>
      <c r="E46" s="77">
        <f>RADIANS(D46)</f>
        <v>3.7699111843077517</v>
      </c>
    </row>
    <row r="47" spans="1:5" ht="12.75" customHeight="1" x14ac:dyDescent="0.2">
      <c r="C47" s="55"/>
      <c r="D47" s="55"/>
      <c r="E47" s="55"/>
    </row>
    <row r="48" spans="1:5" ht="12.75" customHeight="1" x14ac:dyDescent="0.2">
      <c r="A48" s="5">
        <v>7</v>
      </c>
      <c r="B48" s="5" t="s">
        <v>390</v>
      </c>
      <c r="C48" s="77">
        <f>COS(E48)*D7</f>
        <v>-7.2309976683737731E-2</v>
      </c>
      <c r="D48" s="77">
        <f>D11*7+D13</f>
        <v>252</v>
      </c>
      <c r="E48" s="77">
        <f>RADIANS(D48)</f>
        <v>4.3982297150257104</v>
      </c>
    </row>
    <row r="49" spans="1:5" ht="12.75" customHeight="1" x14ac:dyDescent="0.2">
      <c r="A49" s="5">
        <v>7</v>
      </c>
      <c r="B49" s="5" t="s">
        <v>391</v>
      </c>
      <c r="C49" s="77">
        <f>COS(E49)*D7</f>
        <v>-7.2309976683737731E-2</v>
      </c>
      <c r="D49" s="77">
        <f>D11*7+D13</f>
        <v>252</v>
      </c>
      <c r="E49" s="77">
        <f>RADIANS(D49)</f>
        <v>4.3982297150257104</v>
      </c>
    </row>
    <row r="50" spans="1:5" ht="12.75" customHeight="1" x14ac:dyDescent="0.2">
      <c r="A50" s="5">
        <v>7</v>
      </c>
      <c r="B50" s="5" t="s">
        <v>392</v>
      </c>
      <c r="C50" s="77">
        <f>SIN(E50)*D7</f>
        <v>-0.22254722481306594</v>
      </c>
      <c r="D50" s="77">
        <f>D11*7+D13</f>
        <v>252</v>
      </c>
      <c r="E50" s="77">
        <f>RADIANS(D50)</f>
        <v>4.3982297150257104</v>
      </c>
    </row>
    <row r="51" spans="1:5" ht="12.75" customHeight="1" x14ac:dyDescent="0.2">
      <c r="A51" s="5">
        <v>7</v>
      </c>
      <c r="B51" s="5" t="s">
        <v>393</v>
      </c>
      <c r="C51" s="77">
        <f>SIN(E51)*D7</f>
        <v>-0.22254722481306594</v>
      </c>
      <c r="D51" s="77">
        <f>D11*7+D13</f>
        <v>252</v>
      </c>
      <c r="E51" s="77">
        <f>RADIANS(D51)</f>
        <v>4.3982297150257104</v>
      </c>
    </row>
    <row r="52" spans="1:5" ht="12.75" customHeight="1" x14ac:dyDescent="0.2">
      <c r="C52" s="55"/>
      <c r="D52" s="55"/>
      <c r="E52" s="55"/>
    </row>
    <row r="53" spans="1:5" ht="12.75" customHeight="1" x14ac:dyDescent="0.2">
      <c r="A53" s="5">
        <v>8</v>
      </c>
      <c r="B53" s="5" t="s">
        <v>390</v>
      </c>
      <c r="C53" s="77">
        <f>COS(E53)*D7</f>
        <v>7.2309976683737662E-2</v>
      </c>
      <c r="D53" s="77">
        <f>D11*8+D13</f>
        <v>288</v>
      </c>
      <c r="E53" s="77">
        <f>RADIANS(D53)</f>
        <v>5.026548245743669</v>
      </c>
    </row>
    <row r="54" spans="1:5" ht="12.75" customHeight="1" x14ac:dyDescent="0.2">
      <c r="A54" s="5">
        <v>8</v>
      </c>
      <c r="B54" s="5" t="s">
        <v>391</v>
      </c>
      <c r="C54" s="77">
        <f>COS(E54)*D7</f>
        <v>7.2309976683737662E-2</v>
      </c>
      <c r="D54" s="77">
        <f>D11*8+D13</f>
        <v>288</v>
      </c>
      <c r="E54" s="77">
        <f>RADIANS(D54)</f>
        <v>5.026548245743669</v>
      </c>
    </row>
    <row r="55" spans="1:5" ht="12.75" customHeight="1" x14ac:dyDescent="0.2">
      <c r="A55" s="5">
        <v>8</v>
      </c>
      <c r="B55" s="5" t="s">
        <v>392</v>
      </c>
      <c r="C55" s="77">
        <f>SIN(E55)*D7</f>
        <v>-0.22254722481306596</v>
      </c>
      <c r="D55" s="77">
        <f>D11*8+D13</f>
        <v>288</v>
      </c>
      <c r="E55" s="77">
        <f>RADIANS(D55)</f>
        <v>5.026548245743669</v>
      </c>
    </row>
    <row r="56" spans="1:5" ht="12.75" customHeight="1" x14ac:dyDescent="0.2">
      <c r="A56" s="5">
        <v>8</v>
      </c>
      <c r="B56" s="5" t="s">
        <v>393</v>
      </c>
      <c r="C56" s="77">
        <f>SIN(E56)*D7</f>
        <v>-0.22254722481306596</v>
      </c>
      <c r="D56" s="77">
        <f>D11*8+D13</f>
        <v>288</v>
      </c>
      <c r="E56" s="77">
        <f>RADIANS(D56)</f>
        <v>5.026548245743669</v>
      </c>
    </row>
    <row r="57" spans="1:5" ht="12.75" customHeight="1" x14ac:dyDescent="0.2">
      <c r="C57" s="55"/>
      <c r="D57" s="55"/>
      <c r="E57" s="55"/>
    </row>
    <row r="58" spans="1:5" ht="12.75" customHeight="1" x14ac:dyDescent="0.2">
      <c r="A58" s="5">
        <v>9</v>
      </c>
      <c r="B58" s="5" t="s">
        <v>390</v>
      </c>
      <c r="C58" s="77">
        <f>COS(E58)*D7</f>
        <v>0.1893099766837377</v>
      </c>
      <c r="D58" s="77">
        <f>D11*9+D13</f>
        <v>324</v>
      </c>
      <c r="E58" s="77">
        <f>RADIANS(D58)</f>
        <v>5.6548667764616276</v>
      </c>
    </row>
    <row r="59" spans="1:5" ht="12.75" customHeight="1" x14ac:dyDescent="0.2">
      <c r="A59" s="5">
        <v>9</v>
      </c>
      <c r="B59" s="5" t="s">
        <v>391</v>
      </c>
      <c r="C59" s="77">
        <f>COS(E59)*D7</f>
        <v>0.1893099766837377</v>
      </c>
      <c r="D59" s="77">
        <f>D11*9+D13</f>
        <v>324</v>
      </c>
      <c r="E59" s="77">
        <f>RADIANS(D59)</f>
        <v>5.6548667764616276</v>
      </c>
    </row>
    <row r="60" spans="1:5" ht="12.75" customHeight="1" x14ac:dyDescent="0.2">
      <c r="A60" s="5">
        <v>9</v>
      </c>
      <c r="B60" s="5" t="s">
        <v>392</v>
      </c>
      <c r="C60" s="77">
        <f>SIN(E60)*D7</f>
        <v>-0.13754174903643879</v>
      </c>
      <c r="D60" s="77">
        <f>D11*9+D13</f>
        <v>324</v>
      </c>
      <c r="E60" s="77">
        <f>RADIANS(D60)</f>
        <v>5.6548667764616276</v>
      </c>
    </row>
    <row r="61" spans="1:5" ht="12.75" customHeight="1" x14ac:dyDescent="0.2">
      <c r="A61" s="5">
        <v>9</v>
      </c>
      <c r="B61" s="5" t="s">
        <v>393</v>
      </c>
      <c r="C61" s="77">
        <f>SIN(E61)*D7</f>
        <v>-0.13754174903643879</v>
      </c>
      <c r="D61" s="77">
        <f>D11*9+D13</f>
        <v>324</v>
      </c>
      <c r="E61" s="77">
        <f>RADIANS(D61)</f>
        <v>5.6548667764616276</v>
      </c>
    </row>
    <row r="62" spans="1:5" ht="12.75" customHeight="1" x14ac:dyDescent="0.2">
      <c r="C62" s="55"/>
      <c r="D62" s="55"/>
      <c r="E62" s="55"/>
    </row>
    <row r="63" spans="1:5" ht="12.75" customHeight="1" x14ac:dyDescent="0.2">
      <c r="A63" s="5">
        <v>10</v>
      </c>
      <c r="B63" s="5" t="s">
        <v>390</v>
      </c>
      <c r="C63" s="77">
        <f>COS(E63)*D7</f>
        <v>0.23400000000000001</v>
      </c>
      <c r="D63" s="77">
        <f>D11*10+D13</f>
        <v>360</v>
      </c>
      <c r="E63" s="77">
        <f>RADIANS(D63)</f>
        <v>6.2831853071795862</v>
      </c>
    </row>
    <row r="64" spans="1:5" ht="12.75" customHeight="1" x14ac:dyDescent="0.2">
      <c r="A64" s="5">
        <v>10</v>
      </c>
      <c r="B64" s="5" t="s">
        <v>391</v>
      </c>
      <c r="C64" s="77">
        <f>COS(E64)*D7</f>
        <v>0.23400000000000001</v>
      </c>
      <c r="D64" s="77">
        <f>D11*10+D13</f>
        <v>360</v>
      </c>
      <c r="E64" s="77">
        <f>RADIANS(D64)</f>
        <v>6.2831853071795862</v>
      </c>
    </row>
    <row r="65" spans="1:5" ht="12.75" customHeight="1" x14ac:dyDescent="0.2">
      <c r="A65" s="5">
        <v>10</v>
      </c>
      <c r="B65" s="5" t="s">
        <v>392</v>
      </c>
      <c r="C65" s="77">
        <f>SIN(E65)*D7</f>
        <v>-5.733694768972342E-17</v>
      </c>
      <c r="D65" s="77">
        <f>D11*10+D13</f>
        <v>360</v>
      </c>
      <c r="E65" s="77">
        <f>RADIANS(D65)</f>
        <v>6.2831853071795862</v>
      </c>
    </row>
    <row r="66" spans="1:5" ht="12.75" customHeight="1" x14ac:dyDescent="0.2">
      <c r="A66" s="5">
        <v>10</v>
      </c>
      <c r="B66" s="5" t="s">
        <v>393</v>
      </c>
      <c r="C66" s="77">
        <f>SIN(E66)*D7</f>
        <v>-5.733694768972342E-17</v>
      </c>
      <c r="D66" s="77">
        <f>D11*10+D13</f>
        <v>360</v>
      </c>
      <c r="E66" s="77">
        <f>RADIANS(D66)</f>
        <v>6.2831853071795862</v>
      </c>
    </row>
    <row r="67" spans="1:5" ht="12.75" customHeight="1" x14ac:dyDescent="0.2">
      <c r="C67" s="55"/>
      <c r="D67" s="55"/>
      <c r="E67" s="55"/>
    </row>
    <row r="68" spans="1:5" ht="12.75" customHeight="1" x14ac:dyDescent="0.2">
      <c r="A68" s="5">
        <v>11</v>
      </c>
      <c r="B68" s="5" t="s">
        <v>390</v>
      </c>
      <c r="C68" s="77">
        <f>COS(E68)*D7</f>
        <v>0.18930997668373775</v>
      </c>
      <c r="D68" s="77">
        <f>D11*11+D13</f>
        <v>396</v>
      </c>
      <c r="E68" s="77">
        <f>RADIANS(D68)</f>
        <v>6.9115038378975449</v>
      </c>
    </row>
    <row r="69" spans="1:5" ht="12.75" customHeight="1" x14ac:dyDescent="0.2">
      <c r="A69" s="5">
        <v>11</v>
      </c>
      <c r="B69" s="5" t="s">
        <v>391</v>
      </c>
      <c r="C69" s="77">
        <f>COS(E69)*D7</f>
        <v>0.18930997668373775</v>
      </c>
      <c r="D69" s="77">
        <f>D11*11+D13</f>
        <v>396</v>
      </c>
      <c r="E69" s="77">
        <f>RADIANS(D69)</f>
        <v>6.9115038378975449</v>
      </c>
    </row>
    <row r="70" spans="1:5" ht="12.75" customHeight="1" x14ac:dyDescent="0.2">
      <c r="A70" s="5">
        <v>11</v>
      </c>
      <c r="B70" s="5" t="s">
        <v>392</v>
      </c>
      <c r="C70" s="77">
        <f>SIN(E70)*D7</f>
        <v>0.13754174903643868</v>
      </c>
      <c r="D70" s="77">
        <f>D11*11+D13</f>
        <v>396</v>
      </c>
      <c r="E70" s="77">
        <f>RADIANS(D70)</f>
        <v>6.9115038378975449</v>
      </c>
    </row>
    <row r="71" spans="1:5" ht="12.75" customHeight="1" x14ac:dyDescent="0.2">
      <c r="A71" s="5">
        <v>11</v>
      </c>
      <c r="B71" s="5" t="s">
        <v>393</v>
      </c>
      <c r="C71" s="77">
        <f>SIN(E71)*D7</f>
        <v>0.13754174903643868</v>
      </c>
      <c r="D71" s="77">
        <f>D11*11+D13</f>
        <v>396</v>
      </c>
      <c r="E71" s="77">
        <f>RADIANS(D71)</f>
        <v>6.9115038378975449</v>
      </c>
    </row>
    <row r="72" spans="1:5" ht="12.75" customHeight="1" x14ac:dyDescent="0.2">
      <c r="C72" s="55"/>
      <c r="D72" s="55"/>
      <c r="E72" s="55"/>
    </row>
    <row r="73" spans="1:5" ht="12.75" customHeight="1" x14ac:dyDescent="0.2">
      <c r="A73" s="5">
        <v>12</v>
      </c>
      <c r="B73" s="5" t="s">
        <v>390</v>
      </c>
      <c r="C73" s="77">
        <f>COS(E73)*D7</f>
        <v>7.2309976683737773E-2</v>
      </c>
      <c r="D73" s="77">
        <f>D11*12+D13</f>
        <v>432</v>
      </c>
      <c r="E73" s="77">
        <f>RADIANS(D73)</f>
        <v>7.5398223686155035</v>
      </c>
    </row>
    <row r="74" spans="1:5" ht="12.75" customHeight="1" x14ac:dyDescent="0.2">
      <c r="A74" s="5">
        <v>12</v>
      </c>
      <c r="B74" s="5" t="s">
        <v>391</v>
      </c>
      <c r="C74" s="77">
        <f>COS(E74)*D7</f>
        <v>7.2309976683737773E-2</v>
      </c>
      <c r="D74" s="77">
        <f>D11*12+D13</f>
        <v>432</v>
      </c>
      <c r="E74" s="77">
        <f>RADIANS(D74)</f>
        <v>7.5398223686155035</v>
      </c>
    </row>
    <row r="75" spans="1:5" ht="12.75" customHeight="1" x14ac:dyDescent="0.2">
      <c r="A75" s="5">
        <v>12</v>
      </c>
      <c r="B75" s="5" t="s">
        <v>392</v>
      </c>
      <c r="C75" s="77">
        <f>SIN(E75)*D7</f>
        <v>0.22254722481306594</v>
      </c>
      <c r="D75" s="77">
        <f>D11*12+D13</f>
        <v>432</v>
      </c>
      <c r="E75" s="77">
        <f>RADIANS(D75)</f>
        <v>7.5398223686155035</v>
      </c>
    </row>
    <row r="76" spans="1:5" ht="12.75" customHeight="1" x14ac:dyDescent="0.2">
      <c r="A76" s="5">
        <v>12</v>
      </c>
      <c r="B76" s="5" t="s">
        <v>393</v>
      </c>
      <c r="C76" s="77">
        <f>SIN(E76)*D7</f>
        <v>0.22254722481306594</v>
      </c>
      <c r="D76" s="77">
        <f>D11*12+D13</f>
        <v>432</v>
      </c>
      <c r="E76" s="77">
        <f>RADIANS(D76)</f>
        <v>7.5398223686155035</v>
      </c>
    </row>
    <row r="77" spans="1:5" ht="12.75" customHeight="1" x14ac:dyDescent="0.2">
      <c r="C77" s="55"/>
      <c r="D77" s="55"/>
      <c r="E77" s="55"/>
    </row>
    <row r="78" spans="1:5" ht="12.75" customHeight="1" x14ac:dyDescent="0.2">
      <c r="A78" s="5">
        <v>13</v>
      </c>
      <c r="B78" s="5" t="s">
        <v>390</v>
      </c>
      <c r="C78" s="77">
        <f>COS(E78)*D7</f>
        <v>-7.2309976683737634E-2</v>
      </c>
      <c r="D78" s="77">
        <f>D11*13+D13</f>
        <v>468</v>
      </c>
      <c r="E78" s="77">
        <f>RADIANS(D78)</f>
        <v>8.1681408993334621</v>
      </c>
    </row>
    <row r="79" spans="1:5" ht="12.75" customHeight="1" x14ac:dyDescent="0.2">
      <c r="A79" s="5">
        <v>13</v>
      </c>
      <c r="B79" s="5" t="s">
        <v>391</v>
      </c>
      <c r="C79" s="77">
        <f>COS(E79)*D7</f>
        <v>-7.2309976683737634E-2</v>
      </c>
      <c r="D79" s="77">
        <f>D11*13+D13</f>
        <v>468</v>
      </c>
      <c r="E79" s="77">
        <f>RADIANS(D79)</f>
        <v>8.1681408993334621</v>
      </c>
    </row>
    <row r="80" spans="1:5" ht="12.75" customHeight="1" x14ac:dyDescent="0.2">
      <c r="A80" s="5">
        <v>13</v>
      </c>
      <c r="B80" s="5" t="s">
        <v>392</v>
      </c>
      <c r="C80" s="77">
        <f>SIN(E80)*D7</f>
        <v>0.22254722481306596</v>
      </c>
      <c r="D80" s="77">
        <f>D11*13+D13</f>
        <v>468</v>
      </c>
      <c r="E80" s="77">
        <f>RADIANS(D80)</f>
        <v>8.1681408993334621</v>
      </c>
    </row>
    <row r="81" spans="1:5" ht="12.75" customHeight="1" x14ac:dyDescent="0.2">
      <c r="A81" s="5">
        <v>13</v>
      </c>
      <c r="B81" s="5" t="s">
        <v>393</v>
      </c>
      <c r="C81" s="77">
        <f>SIN(E81)*D7</f>
        <v>0.22254722481306596</v>
      </c>
      <c r="D81" s="77">
        <f>D11*13+D13</f>
        <v>468</v>
      </c>
      <c r="E81" s="77">
        <f>RADIANS(D81)</f>
        <v>8.1681408993334621</v>
      </c>
    </row>
    <row r="82" spans="1:5" ht="12.75" customHeight="1" x14ac:dyDescent="0.2">
      <c r="C82" s="55"/>
      <c r="D82" s="55"/>
      <c r="E82" s="55"/>
    </row>
    <row r="83" spans="1:5" ht="12.75" customHeight="1" x14ac:dyDescent="0.2">
      <c r="A83" s="5">
        <v>14</v>
      </c>
      <c r="B83" s="5" t="s">
        <v>390</v>
      </c>
      <c r="C83" s="77">
        <f>COS(E83)*D7</f>
        <v>-0.18930997668373767</v>
      </c>
      <c r="D83" s="77">
        <f>D11*14+D13</f>
        <v>504</v>
      </c>
      <c r="E83" s="77">
        <f>RADIANS(D83)</f>
        <v>8.7964594300514207</v>
      </c>
    </row>
    <row r="84" spans="1:5" ht="12.75" customHeight="1" x14ac:dyDescent="0.2">
      <c r="A84" s="5">
        <v>14</v>
      </c>
      <c r="B84" s="5" t="s">
        <v>391</v>
      </c>
      <c r="C84" s="77">
        <f>COS(E84)*D7</f>
        <v>-0.18930997668373767</v>
      </c>
      <c r="D84" s="77">
        <f>D11*14+D13</f>
        <v>504</v>
      </c>
      <c r="E84" s="77">
        <f>RADIANS(D84)</f>
        <v>8.7964594300514207</v>
      </c>
    </row>
    <row r="85" spans="1:5" ht="12.75" customHeight="1" x14ac:dyDescent="0.2">
      <c r="A85" s="5">
        <v>14</v>
      </c>
      <c r="B85" s="5" t="s">
        <v>392</v>
      </c>
      <c r="C85" s="77">
        <f>SIN(E85)*D7</f>
        <v>0.13754174903643879</v>
      </c>
      <c r="D85" s="77">
        <f>D11*14+D13</f>
        <v>504</v>
      </c>
      <c r="E85" s="77">
        <f>RADIANS(D85)</f>
        <v>8.7964594300514207</v>
      </c>
    </row>
    <row r="86" spans="1:5" ht="12.75" customHeight="1" x14ac:dyDescent="0.2">
      <c r="A86" s="5">
        <v>14</v>
      </c>
      <c r="B86" s="5" t="s">
        <v>393</v>
      </c>
      <c r="C86" s="77">
        <f>SIN(E86)*D7</f>
        <v>0.13754174903643879</v>
      </c>
      <c r="D86" s="77">
        <f>D11*14+D13</f>
        <v>504</v>
      </c>
      <c r="E86" s="77">
        <f>RADIANS(D86)</f>
        <v>8.7964594300514207</v>
      </c>
    </row>
    <row r="87" spans="1:5" ht="12.75" customHeight="1" x14ac:dyDescent="0.2">
      <c r="C87" s="55"/>
      <c r="D87" s="55"/>
      <c r="E87" s="55"/>
    </row>
    <row r="88" spans="1:5" ht="12.75" customHeight="1" x14ac:dyDescent="0.2">
      <c r="A88" s="5">
        <v>15</v>
      </c>
      <c r="B88" s="5" t="s">
        <v>390</v>
      </c>
      <c r="C88" s="77">
        <f>COS(E88)*D7</f>
        <v>-0.23400000000000001</v>
      </c>
      <c r="D88" s="77">
        <f>D11*15+D13</f>
        <v>540</v>
      </c>
      <c r="E88" s="77">
        <f>RADIANS(D88)</f>
        <v>9.4247779607693793</v>
      </c>
    </row>
    <row r="89" spans="1:5" ht="12.75" customHeight="1" x14ac:dyDescent="0.2">
      <c r="A89" s="5">
        <v>15</v>
      </c>
      <c r="B89" s="5" t="s">
        <v>391</v>
      </c>
      <c r="C89" s="77">
        <f>COS(E89)*D7</f>
        <v>-0.23400000000000001</v>
      </c>
      <c r="D89" s="77">
        <f>D11*15+D13</f>
        <v>540</v>
      </c>
      <c r="E89" s="77">
        <f>RADIANS(D89)</f>
        <v>9.4247779607693793</v>
      </c>
    </row>
    <row r="90" spans="1:5" ht="12.75" customHeight="1" x14ac:dyDescent="0.2">
      <c r="A90" s="5">
        <v>15</v>
      </c>
      <c r="B90" s="5" t="s">
        <v>392</v>
      </c>
      <c r="C90" s="77">
        <f>SIN(E90)*D7</f>
        <v>8.6005421534585124E-17</v>
      </c>
      <c r="D90" s="77">
        <f>D11*15+D13</f>
        <v>540</v>
      </c>
      <c r="E90" s="77">
        <f>RADIANS(D90)</f>
        <v>9.4247779607693793</v>
      </c>
    </row>
    <row r="91" spans="1:5" ht="12.75" customHeight="1" x14ac:dyDescent="0.2">
      <c r="A91" s="5">
        <v>15</v>
      </c>
      <c r="B91" s="5" t="s">
        <v>393</v>
      </c>
      <c r="C91" s="77">
        <f>SIN(E91)*D7</f>
        <v>8.6005421534585124E-17</v>
      </c>
      <c r="D91" s="77">
        <f>D11*15+D13</f>
        <v>540</v>
      </c>
      <c r="E91" s="77">
        <f>RADIANS(D91)</f>
        <v>9.4247779607693793</v>
      </c>
    </row>
    <row r="92" spans="1:5" ht="12.75" customHeight="1" x14ac:dyDescent="0.2">
      <c r="C92" s="55"/>
      <c r="D92" s="55"/>
      <c r="E92" s="55"/>
    </row>
    <row r="93" spans="1:5" ht="12.75" customHeight="1" x14ac:dyDescent="0.2">
      <c r="A93" s="5">
        <v>16</v>
      </c>
      <c r="B93" s="5" t="s">
        <v>390</v>
      </c>
      <c r="C93" s="77">
        <f>COS(E93)*D7</f>
        <v>-0.18930997668373778</v>
      </c>
      <c r="D93" s="77">
        <f>D11*16+D13</f>
        <v>576</v>
      </c>
      <c r="E93" s="77">
        <f>RADIANS(D93)</f>
        <v>10.053096491487338</v>
      </c>
    </row>
    <row r="94" spans="1:5" ht="12.75" customHeight="1" x14ac:dyDescent="0.2">
      <c r="A94" s="5">
        <v>16</v>
      </c>
      <c r="B94" s="5" t="s">
        <v>391</v>
      </c>
      <c r="C94" s="77">
        <f>COS(E94)*D7</f>
        <v>-0.18930997668373778</v>
      </c>
      <c r="D94" s="77">
        <f>D11*16+D13</f>
        <v>576</v>
      </c>
      <c r="E94" s="77">
        <f>RADIANS(D94)</f>
        <v>10.053096491487338</v>
      </c>
    </row>
    <row r="95" spans="1:5" ht="12.75" customHeight="1" x14ac:dyDescent="0.2">
      <c r="A95" s="5">
        <v>16</v>
      </c>
      <c r="B95" s="5" t="s">
        <v>392</v>
      </c>
      <c r="C95" s="77">
        <f>SIN(E95)*D7</f>
        <v>-0.13754174903643865</v>
      </c>
      <c r="D95" s="77">
        <f>D11*16+D13</f>
        <v>576</v>
      </c>
      <c r="E95" s="77">
        <f>RADIANS(D95)</f>
        <v>10.053096491487338</v>
      </c>
    </row>
    <row r="96" spans="1:5" ht="12.75" customHeight="1" x14ac:dyDescent="0.2">
      <c r="A96" s="5">
        <v>16</v>
      </c>
      <c r="B96" s="5" t="s">
        <v>393</v>
      </c>
      <c r="C96" s="77">
        <f>SIN(E96)*D7</f>
        <v>-0.13754174903643865</v>
      </c>
      <c r="D96" s="77">
        <f>D11*16+D13</f>
        <v>576</v>
      </c>
      <c r="E96" s="77">
        <f>RADIANS(D96)</f>
        <v>10.053096491487338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43644-9A80-49BA-9755-BB02C8449478}">
  <sheetPr codeName="Sheet3"/>
  <dimension ref="A1:J24"/>
  <sheetViews>
    <sheetView workbookViewId="0">
      <selection activeCell="E3" sqref="E3"/>
    </sheetView>
  </sheetViews>
  <sheetFormatPr defaultRowHeight="12.75" x14ac:dyDescent="0.2"/>
  <cols>
    <col min="1" max="1" width="9.140625" style="2"/>
    <col min="2" max="2" width="12.7109375" style="2" customWidth="1"/>
    <col min="3" max="16384" width="9.140625" style="2"/>
  </cols>
  <sheetData>
    <row r="1" spans="1:10" x14ac:dyDescent="0.2">
      <c r="A1" s="2" t="s">
        <v>189</v>
      </c>
    </row>
    <row r="3" spans="1:10" x14ac:dyDescent="0.2">
      <c r="A3" s="7" t="s">
        <v>51</v>
      </c>
      <c r="E3" s="8" t="s">
        <v>283</v>
      </c>
    </row>
    <row r="4" spans="1:10" x14ac:dyDescent="0.2">
      <c r="A4" s="2" t="s">
        <v>284</v>
      </c>
    </row>
    <row r="6" spans="1:10" ht="13.5" thickBot="1" x14ac:dyDescent="0.25">
      <c r="B6" s="9" t="s">
        <v>186</v>
      </c>
      <c r="C6" s="2" t="s">
        <v>176</v>
      </c>
      <c r="F6" s="2" t="s">
        <v>177</v>
      </c>
      <c r="I6" s="2" t="s">
        <v>178</v>
      </c>
    </row>
    <row r="7" spans="1:10" ht="13.5" thickBot="1" x14ac:dyDescent="0.25">
      <c r="C7" s="2" t="s">
        <v>169</v>
      </c>
      <c r="D7" s="10">
        <v>10</v>
      </c>
      <c r="F7" s="2" t="s">
        <v>173</v>
      </c>
      <c r="G7" s="10">
        <v>1000</v>
      </c>
      <c r="I7" s="2" t="s">
        <v>173</v>
      </c>
      <c r="J7" s="10">
        <v>1000</v>
      </c>
    </row>
    <row r="8" spans="1:10" ht="13.5" thickBot="1" x14ac:dyDescent="0.25">
      <c r="C8" s="2" t="s">
        <v>170</v>
      </c>
      <c r="D8" s="10">
        <v>10</v>
      </c>
      <c r="F8" s="2" t="s">
        <v>171</v>
      </c>
      <c r="G8" s="10">
        <v>10</v>
      </c>
      <c r="I8" s="2" t="s">
        <v>170</v>
      </c>
      <c r="J8" s="10">
        <v>10</v>
      </c>
    </row>
    <row r="9" spans="1:10" x14ac:dyDescent="0.2">
      <c r="B9" s="2" t="s">
        <v>149</v>
      </c>
      <c r="C9" s="2" t="s">
        <v>179</v>
      </c>
      <c r="D9" s="9">
        <f>D7*D8</f>
        <v>100</v>
      </c>
      <c r="F9" s="2" t="s">
        <v>179</v>
      </c>
      <c r="G9" s="9">
        <f>G7/G8</f>
        <v>100</v>
      </c>
      <c r="I9" s="2" t="s">
        <v>179</v>
      </c>
      <c r="J9" s="11">
        <f>SQRT(J7*J8)</f>
        <v>100</v>
      </c>
    </row>
    <row r="11" spans="1:10" ht="13.5" thickBot="1" x14ac:dyDescent="0.25">
      <c r="B11" s="12" t="s">
        <v>187</v>
      </c>
      <c r="C11" s="2" t="s">
        <v>180</v>
      </c>
      <c r="F11" s="2" t="s">
        <v>181</v>
      </c>
      <c r="I11" s="2" t="s">
        <v>172</v>
      </c>
    </row>
    <row r="12" spans="1:10" ht="13.5" thickBot="1" x14ac:dyDescent="0.25">
      <c r="C12" s="2" t="s">
        <v>179</v>
      </c>
      <c r="D12" s="10">
        <v>100</v>
      </c>
      <c r="F12" s="2" t="s">
        <v>173</v>
      </c>
      <c r="G12" s="10">
        <v>1000</v>
      </c>
      <c r="I12" s="2" t="s">
        <v>173</v>
      </c>
      <c r="J12" s="10">
        <v>1000</v>
      </c>
    </row>
    <row r="13" spans="1:10" ht="13.5" thickBot="1" x14ac:dyDescent="0.25">
      <c r="C13" s="2" t="s">
        <v>170</v>
      </c>
      <c r="D13" s="10">
        <v>10</v>
      </c>
      <c r="F13" s="2" t="s">
        <v>179</v>
      </c>
      <c r="G13" s="10">
        <v>100</v>
      </c>
      <c r="I13" s="2" t="s">
        <v>170</v>
      </c>
      <c r="J13" s="10">
        <v>10</v>
      </c>
    </row>
    <row r="14" spans="1:10" x14ac:dyDescent="0.2">
      <c r="B14" s="2" t="s">
        <v>149</v>
      </c>
      <c r="C14" s="2" t="s">
        <v>171</v>
      </c>
      <c r="D14" s="12">
        <f>D12/D13</f>
        <v>10</v>
      </c>
      <c r="F14" s="2" t="s">
        <v>171</v>
      </c>
      <c r="G14" s="12">
        <f>G12/G13</f>
        <v>10</v>
      </c>
      <c r="I14" s="2" t="s">
        <v>171</v>
      </c>
      <c r="J14" s="12">
        <f>SQRT(J12/J13)</f>
        <v>10</v>
      </c>
    </row>
    <row r="16" spans="1:10" ht="13.5" thickBot="1" x14ac:dyDescent="0.25">
      <c r="B16" s="13" t="s">
        <v>195</v>
      </c>
      <c r="C16" s="2" t="s">
        <v>182</v>
      </c>
      <c r="F16" s="2" t="s">
        <v>183</v>
      </c>
      <c r="I16" s="2" t="s">
        <v>174</v>
      </c>
    </row>
    <row r="17" spans="2:10" ht="13.5" thickBot="1" x14ac:dyDescent="0.25">
      <c r="C17" s="2" t="s">
        <v>179</v>
      </c>
      <c r="D17" s="10">
        <v>100</v>
      </c>
      <c r="F17" s="2" t="s">
        <v>179</v>
      </c>
      <c r="G17" s="10">
        <v>100</v>
      </c>
      <c r="I17" s="2" t="s">
        <v>173</v>
      </c>
      <c r="J17" s="10">
        <v>1000</v>
      </c>
    </row>
    <row r="18" spans="2:10" ht="13.5" thickBot="1" x14ac:dyDescent="0.25">
      <c r="C18" s="2" t="s">
        <v>171</v>
      </c>
      <c r="D18" s="10">
        <v>10</v>
      </c>
      <c r="F18" s="2" t="s">
        <v>173</v>
      </c>
      <c r="G18" s="10">
        <v>1000</v>
      </c>
      <c r="I18" s="2" t="s">
        <v>171</v>
      </c>
      <c r="J18" s="10">
        <v>10</v>
      </c>
    </row>
    <row r="19" spans="2:10" x14ac:dyDescent="0.2">
      <c r="B19" s="2" t="s">
        <v>149</v>
      </c>
      <c r="C19" s="2" t="s">
        <v>170</v>
      </c>
      <c r="D19" s="13">
        <f>D17/D18</f>
        <v>10</v>
      </c>
      <c r="F19" s="2" t="s">
        <v>170</v>
      </c>
      <c r="G19" s="13">
        <f>G17^2/G18</f>
        <v>10</v>
      </c>
      <c r="I19" s="2" t="s">
        <v>170</v>
      </c>
      <c r="J19" s="13">
        <f>J17/J18^2</f>
        <v>10</v>
      </c>
    </row>
    <row r="21" spans="2:10" ht="13.5" thickBot="1" x14ac:dyDescent="0.25">
      <c r="B21" s="14" t="s">
        <v>188</v>
      </c>
      <c r="C21" s="2" t="s">
        <v>184</v>
      </c>
      <c r="F21" s="2" t="s">
        <v>185</v>
      </c>
      <c r="I21" s="2" t="s">
        <v>175</v>
      </c>
    </row>
    <row r="22" spans="2:10" ht="13.5" thickBot="1" x14ac:dyDescent="0.25">
      <c r="C22" s="2" t="s">
        <v>179</v>
      </c>
      <c r="D22" s="10">
        <v>100</v>
      </c>
      <c r="F22" s="2" t="s">
        <v>179</v>
      </c>
      <c r="G22" s="10">
        <v>100</v>
      </c>
      <c r="I22" s="2" t="s">
        <v>171</v>
      </c>
      <c r="J22" s="10">
        <v>10</v>
      </c>
    </row>
    <row r="23" spans="2:10" ht="13.5" thickBot="1" x14ac:dyDescent="0.25">
      <c r="C23" s="2" t="s">
        <v>171</v>
      </c>
      <c r="D23" s="10">
        <v>10</v>
      </c>
      <c r="F23" s="2" t="s">
        <v>170</v>
      </c>
      <c r="G23" s="10">
        <v>10</v>
      </c>
      <c r="I23" s="2" t="s">
        <v>170</v>
      </c>
      <c r="J23" s="10">
        <v>10</v>
      </c>
    </row>
    <row r="24" spans="2:10" x14ac:dyDescent="0.2">
      <c r="B24" s="2" t="s">
        <v>149</v>
      </c>
      <c r="C24" s="2" t="s">
        <v>173</v>
      </c>
      <c r="D24" s="14">
        <f>D22*D23</f>
        <v>1000</v>
      </c>
      <c r="F24" s="2" t="s">
        <v>173</v>
      </c>
      <c r="G24" s="14">
        <f>G22^2/G23</f>
        <v>1000</v>
      </c>
      <c r="I24" s="2" t="s">
        <v>173</v>
      </c>
      <c r="J24" s="14">
        <f>J22^2*J23</f>
        <v>1000</v>
      </c>
    </row>
  </sheetData>
  <sheetProtection sheet="1" objects="1" scenarios="1"/>
  <pageMargins left="0.7" right="0.7" top="0.75" bottom="0.75" header="0.3" footer="0.3"/>
  <pageSetup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E9AC7-92B8-40AF-B1CF-363FB7BD01F6}">
  <sheetPr codeName="Sheet4"/>
  <dimension ref="A1:H24"/>
  <sheetViews>
    <sheetView workbookViewId="0">
      <selection activeCell="E3" sqref="E3"/>
    </sheetView>
  </sheetViews>
  <sheetFormatPr defaultColWidth="10.7109375" defaultRowHeight="12.75" x14ac:dyDescent="0.2"/>
  <cols>
    <col min="1" max="16384" width="10.7109375" style="5"/>
  </cols>
  <sheetData>
    <row r="1" spans="1:8" x14ac:dyDescent="0.2">
      <c r="A1" s="5" t="s">
        <v>285</v>
      </c>
    </row>
    <row r="3" spans="1:8" x14ac:dyDescent="0.2">
      <c r="A3" s="7" t="s">
        <v>51</v>
      </c>
      <c r="B3" s="2"/>
      <c r="C3" s="2"/>
      <c r="D3" s="2"/>
      <c r="E3" s="8" t="s">
        <v>283</v>
      </c>
    </row>
    <row r="4" spans="1:8" x14ac:dyDescent="0.2">
      <c r="A4" s="2" t="s">
        <v>284</v>
      </c>
      <c r="B4" s="2"/>
      <c r="C4" s="2"/>
      <c r="D4" s="2"/>
      <c r="E4" s="2"/>
    </row>
    <row r="6" spans="1:8" ht="13.5" thickBot="1" x14ac:dyDescent="0.25">
      <c r="D6" s="5" t="s">
        <v>220</v>
      </c>
      <c r="E6" s="5" t="s">
        <v>224</v>
      </c>
      <c r="F6" s="5" t="s">
        <v>225</v>
      </c>
      <c r="G6" s="5" t="s">
        <v>263</v>
      </c>
      <c r="H6" s="5" t="s">
        <v>264</v>
      </c>
    </row>
    <row r="7" spans="1:8" ht="13.5" thickBot="1" x14ac:dyDescent="0.25">
      <c r="D7" s="15">
        <v>9</v>
      </c>
      <c r="E7" s="16">
        <v>1000</v>
      </c>
      <c r="F7" s="16">
        <v>500</v>
      </c>
      <c r="G7" s="57">
        <f>(E7*F7)/(E7+F7)</f>
        <v>333.33333333333331</v>
      </c>
      <c r="H7" s="60">
        <f>(D7/G7)*1000</f>
        <v>27.000000000000004</v>
      </c>
    </row>
    <row r="9" spans="1:8" x14ac:dyDescent="0.2">
      <c r="E9" s="5" t="s">
        <v>244</v>
      </c>
      <c r="F9" s="5" t="s">
        <v>245</v>
      </c>
    </row>
    <row r="10" spans="1:8" x14ac:dyDescent="0.2">
      <c r="C10" s="13" t="s">
        <v>149</v>
      </c>
      <c r="E10" s="59">
        <f>H7*(F7/(E7+F7))</f>
        <v>9</v>
      </c>
      <c r="F10" s="60">
        <f>H7*(E7/(E7+F7))</f>
        <v>18</v>
      </c>
    </row>
    <row r="12" spans="1:8" x14ac:dyDescent="0.2">
      <c r="D12" s="5" t="s">
        <v>270</v>
      </c>
    </row>
    <row r="14" spans="1:8" x14ac:dyDescent="0.2">
      <c r="D14" s="5" t="s">
        <v>271</v>
      </c>
    </row>
    <row r="16" spans="1:8" x14ac:dyDescent="0.2">
      <c r="D16" s="5" t="s">
        <v>272</v>
      </c>
    </row>
    <row r="18" spans="4:4" x14ac:dyDescent="0.2">
      <c r="D18" s="5" t="s">
        <v>273</v>
      </c>
    </row>
    <row r="20" spans="4:4" x14ac:dyDescent="0.2">
      <c r="D20" s="5" t="s">
        <v>274</v>
      </c>
    </row>
    <row r="22" spans="4:4" x14ac:dyDescent="0.2">
      <c r="D22" s="5" t="s">
        <v>275</v>
      </c>
    </row>
    <row r="24" spans="4:4" x14ac:dyDescent="0.2">
      <c r="D24" s="5" t="s">
        <v>276</v>
      </c>
    </row>
  </sheetData>
  <sheetProtection sheet="1" objects="1" scenario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3AB23-7AC3-4F37-8F9E-59D391B8F580}">
  <sheetPr codeName="Sheet5"/>
  <dimension ref="A1:J51"/>
  <sheetViews>
    <sheetView zoomScaleNormal="100" workbookViewId="0">
      <selection activeCell="E3" sqref="E3"/>
    </sheetView>
  </sheetViews>
  <sheetFormatPr defaultColWidth="10.7109375" defaultRowHeight="12.75" x14ac:dyDescent="0.2"/>
  <cols>
    <col min="1" max="1" width="10.7109375" style="2"/>
    <col min="2" max="2" width="12.7109375" style="2" customWidth="1"/>
    <col min="3" max="4" width="10.7109375" style="2"/>
    <col min="5" max="5" width="12.7109375" style="2" customWidth="1"/>
    <col min="6" max="7" width="10.7109375" style="2"/>
    <col min="8" max="8" width="12.7109375" style="2" customWidth="1"/>
    <col min="9" max="9" width="10.7109375" style="2" customWidth="1"/>
    <col min="10" max="16384" width="10.7109375" style="2"/>
  </cols>
  <sheetData>
    <row r="1" spans="1:10" x14ac:dyDescent="0.2">
      <c r="A1" s="2" t="s">
        <v>212</v>
      </c>
    </row>
    <row r="3" spans="1:10" x14ac:dyDescent="0.2">
      <c r="A3" s="7" t="s">
        <v>51</v>
      </c>
      <c r="E3" s="8" t="s">
        <v>283</v>
      </c>
    </row>
    <row r="4" spans="1:10" x14ac:dyDescent="0.2">
      <c r="A4" s="2" t="s">
        <v>284</v>
      </c>
    </row>
    <row r="6" spans="1:10" x14ac:dyDescent="0.2">
      <c r="B6" s="2" t="s">
        <v>38</v>
      </c>
      <c r="C6" s="2" t="s">
        <v>200</v>
      </c>
      <c r="F6" s="2" t="s">
        <v>201</v>
      </c>
      <c r="I6" s="2" t="s">
        <v>202</v>
      </c>
    </row>
    <row r="7" spans="1:10" ht="13.5" thickBot="1" x14ac:dyDescent="0.25"/>
    <row r="8" spans="1:10" ht="13.5" thickBot="1" x14ac:dyDescent="0.25">
      <c r="B8" s="2" t="s">
        <v>118</v>
      </c>
      <c r="C8" s="10">
        <v>1.4999999999999999E-2</v>
      </c>
      <c r="D8" s="2" t="s">
        <v>107</v>
      </c>
      <c r="E8" s="2" t="s">
        <v>13</v>
      </c>
      <c r="F8" s="10">
        <v>10000</v>
      </c>
      <c r="G8" s="2" t="s">
        <v>121</v>
      </c>
      <c r="H8" s="2" t="s">
        <v>118</v>
      </c>
      <c r="I8" s="10">
        <v>1.4999999999999999E-2</v>
      </c>
      <c r="J8" s="2" t="s">
        <v>107</v>
      </c>
    </row>
    <row r="9" spans="1:10" x14ac:dyDescent="0.2">
      <c r="B9" s="2" t="s">
        <v>145</v>
      </c>
      <c r="C9" s="2">
        <f>C8*1000</f>
        <v>15</v>
      </c>
      <c r="D9" s="2" t="s">
        <v>119</v>
      </c>
      <c r="E9" s="2" t="s">
        <v>145</v>
      </c>
      <c r="F9" s="2">
        <f>F8/1000</f>
        <v>10</v>
      </c>
      <c r="G9" s="2" t="s">
        <v>146</v>
      </c>
      <c r="H9" s="2" t="s">
        <v>145</v>
      </c>
      <c r="I9" s="2">
        <f>I8*1000</f>
        <v>15</v>
      </c>
      <c r="J9" s="2" t="s">
        <v>119</v>
      </c>
    </row>
    <row r="10" spans="1:10" x14ac:dyDescent="0.2">
      <c r="B10" s="2" t="s">
        <v>145</v>
      </c>
      <c r="C10" s="2">
        <f>C9*1000</f>
        <v>15000</v>
      </c>
      <c r="D10" s="20" t="s">
        <v>120</v>
      </c>
      <c r="E10" s="2" t="s">
        <v>145</v>
      </c>
      <c r="F10" s="2">
        <f>F9/1000</f>
        <v>0.01</v>
      </c>
      <c r="G10" s="2" t="s">
        <v>147</v>
      </c>
      <c r="H10" s="20" t="s">
        <v>145</v>
      </c>
      <c r="I10" s="2">
        <f>I9*1000</f>
        <v>15000</v>
      </c>
      <c r="J10" s="2" t="s">
        <v>120</v>
      </c>
    </row>
    <row r="11" spans="1:10" ht="13.5" thickBot="1" x14ac:dyDescent="0.25">
      <c r="D11" s="20"/>
      <c r="E11" s="20"/>
      <c r="H11" s="20"/>
    </row>
    <row r="12" spans="1:10" ht="13.5" thickBot="1" x14ac:dyDescent="0.25">
      <c r="B12" s="2" t="s">
        <v>13</v>
      </c>
      <c r="C12" s="10">
        <v>10000</v>
      </c>
      <c r="D12" s="2" t="s">
        <v>121</v>
      </c>
      <c r="E12" s="2" t="s">
        <v>144</v>
      </c>
      <c r="F12" s="10">
        <v>1000</v>
      </c>
      <c r="G12" s="2" t="s">
        <v>123</v>
      </c>
      <c r="H12" s="2" t="s">
        <v>144</v>
      </c>
      <c r="I12" s="10">
        <v>1000</v>
      </c>
      <c r="J12" s="2" t="s">
        <v>123</v>
      </c>
    </row>
    <row r="13" spans="1:10" x14ac:dyDescent="0.2">
      <c r="B13" s="2" t="s">
        <v>145</v>
      </c>
      <c r="C13" s="2">
        <f>C12/1000</f>
        <v>10</v>
      </c>
      <c r="D13" s="2" t="s">
        <v>146</v>
      </c>
      <c r="E13" s="2" t="s">
        <v>145</v>
      </c>
      <c r="F13" s="2">
        <f>F12/1000</f>
        <v>1</v>
      </c>
      <c r="G13" s="2" t="s">
        <v>124</v>
      </c>
      <c r="H13" s="2" t="s">
        <v>145</v>
      </c>
      <c r="I13" s="2">
        <f>I12/1000</f>
        <v>1</v>
      </c>
      <c r="J13" s="2" t="s">
        <v>124</v>
      </c>
    </row>
    <row r="14" spans="1:10" x14ac:dyDescent="0.2">
      <c r="B14" s="2" t="s">
        <v>145</v>
      </c>
      <c r="C14" s="2">
        <f>C13/1000</f>
        <v>0.01</v>
      </c>
      <c r="D14" s="2" t="s">
        <v>147</v>
      </c>
      <c r="E14" s="2" t="s">
        <v>145</v>
      </c>
      <c r="F14" s="2">
        <f>F13/1000</f>
        <v>1E-3</v>
      </c>
      <c r="G14" s="2" t="s">
        <v>143</v>
      </c>
      <c r="H14" s="2" t="s">
        <v>145</v>
      </c>
      <c r="I14" s="2">
        <f>I13/1000</f>
        <v>1E-3</v>
      </c>
      <c r="J14" s="2" t="s">
        <v>143</v>
      </c>
    </row>
    <row r="16" spans="1:10" x14ac:dyDescent="0.2">
      <c r="B16" s="13" t="s">
        <v>149</v>
      </c>
      <c r="E16" s="13" t="s">
        <v>149</v>
      </c>
      <c r="H16" s="13" t="s">
        <v>149</v>
      </c>
    </row>
    <row r="17" spans="2:10" x14ac:dyDescent="0.2">
      <c r="B17" s="2" t="s">
        <v>122</v>
      </c>
      <c r="C17" s="13">
        <f>1/(2*PI()*C12*(C8*0.000001))</f>
        <v>1061.032953945969</v>
      </c>
      <c r="D17" s="2" t="s">
        <v>123</v>
      </c>
      <c r="E17" s="2" t="s">
        <v>118</v>
      </c>
      <c r="F17" s="13">
        <f>1/(2*PI()*F8*F12)*1000000</f>
        <v>1.5915494309189534E-2</v>
      </c>
      <c r="G17" s="2" t="s">
        <v>107</v>
      </c>
      <c r="H17" s="2" t="s">
        <v>13</v>
      </c>
      <c r="I17" s="13">
        <f>1/(2*PI()*I8*(I12*0.000001))</f>
        <v>10610.32953945969</v>
      </c>
      <c r="J17" s="2" t="s">
        <v>121</v>
      </c>
    </row>
    <row r="18" spans="2:10" x14ac:dyDescent="0.2">
      <c r="B18" s="2" t="s">
        <v>145</v>
      </c>
      <c r="C18" s="13">
        <f>C17/1000</f>
        <v>1.0610329539459691</v>
      </c>
      <c r="D18" s="2" t="s">
        <v>124</v>
      </c>
      <c r="E18" s="2" t="s">
        <v>145</v>
      </c>
      <c r="F18" s="13">
        <f>1/(2*PI()*F8*F12)*1000000000</f>
        <v>15.915494309189533</v>
      </c>
      <c r="G18" s="2" t="s">
        <v>119</v>
      </c>
      <c r="H18" s="2" t="s">
        <v>145</v>
      </c>
      <c r="I18" s="13">
        <f>I17/1000</f>
        <v>10.610329539459689</v>
      </c>
      <c r="J18" s="2" t="s">
        <v>146</v>
      </c>
    </row>
    <row r="19" spans="2:10" x14ac:dyDescent="0.2">
      <c r="B19" s="2" t="s">
        <v>145</v>
      </c>
      <c r="C19" s="13">
        <f>C18/1000</f>
        <v>1.061032953945969E-3</v>
      </c>
      <c r="D19" s="2" t="s">
        <v>143</v>
      </c>
      <c r="E19" s="2" t="s">
        <v>145</v>
      </c>
      <c r="F19" s="13">
        <f>1/(2*PI()*F8*F12)*1000000000000</f>
        <v>15915.494309189535</v>
      </c>
      <c r="G19" s="2" t="s">
        <v>120</v>
      </c>
      <c r="H19" s="2" t="s">
        <v>145</v>
      </c>
      <c r="I19" s="13">
        <f>I18/1000</f>
        <v>1.0610329539459689E-2</v>
      </c>
      <c r="J19" s="2" t="s">
        <v>147</v>
      </c>
    </row>
    <row r="25" spans="2:10" x14ac:dyDescent="0.2">
      <c r="B25" s="2" t="s">
        <v>38</v>
      </c>
      <c r="C25" s="2" t="s">
        <v>191</v>
      </c>
      <c r="F25" s="2" t="s">
        <v>192</v>
      </c>
      <c r="I25" s="2" t="s">
        <v>193</v>
      </c>
    </row>
    <row r="26" spans="2:10" ht="13.5" thickBot="1" x14ac:dyDescent="0.25"/>
    <row r="27" spans="2:10" ht="13.5" thickBot="1" x14ac:dyDescent="0.25">
      <c r="B27" s="2" t="s">
        <v>39</v>
      </c>
      <c r="C27" s="10">
        <v>0.15</v>
      </c>
      <c r="D27" s="2" t="s">
        <v>194</v>
      </c>
      <c r="E27" s="2" t="s">
        <v>13</v>
      </c>
      <c r="F27" s="10">
        <v>1000</v>
      </c>
      <c r="G27" s="2" t="s">
        <v>121</v>
      </c>
      <c r="H27" s="2" t="s">
        <v>39</v>
      </c>
      <c r="I27" s="10">
        <v>0.15</v>
      </c>
      <c r="J27" s="2" t="s">
        <v>194</v>
      </c>
    </row>
    <row r="28" spans="2:10" ht="13.5" thickBot="1" x14ac:dyDescent="0.25"/>
    <row r="29" spans="2:10" ht="13.5" thickBot="1" x14ac:dyDescent="0.25">
      <c r="B29" s="2" t="s">
        <v>13</v>
      </c>
      <c r="C29" s="10">
        <v>1000</v>
      </c>
      <c r="D29" s="2" t="s">
        <v>121</v>
      </c>
      <c r="E29" s="2" t="s">
        <v>144</v>
      </c>
      <c r="F29" s="10">
        <v>1000</v>
      </c>
      <c r="G29" s="2" t="s">
        <v>123</v>
      </c>
      <c r="H29" s="2" t="s">
        <v>144</v>
      </c>
      <c r="I29" s="10">
        <v>1000</v>
      </c>
      <c r="J29" s="2" t="s">
        <v>123</v>
      </c>
    </row>
    <row r="31" spans="2:10" x14ac:dyDescent="0.2">
      <c r="B31" s="2" t="s">
        <v>149</v>
      </c>
      <c r="E31" s="2" t="s">
        <v>149</v>
      </c>
      <c r="H31" s="2" t="s">
        <v>149</v>
      </c>
    </row>
    <row r="32" spans="2:10" x14ac:dyDescent="0.2">
      <c r="B32" s="2" t="s">
        <v>122</v>
      </c>
      <c r="C32" s="2">
        <f>C29/(2*PI()*C27)</f>
        <v>1061.032953945969</v>
      </c>
      <c r="D32" s="2" t="s">
        <v>123</v>
      </c>
      <c r="E32" s="2" t="s">
        <v>39</v>
      </c>
      <c r="F32" s="2">
        <f>F27/(2*PI()*F29)</f>
        <v>0.15915494309189535</v>
      </c>
      <c r="G32" s="2" t="s">
        <v>194</v>
      </c>
      <c r="H32" s="2" t="s">
        <v>13</v>
      </c>
      <c r="I32" s="2">
        <f>2*PI()*I29*I27</f>
        <v>942.47779607693781</v>
      </c>
    </row>
    <row r="44" spans="2:10" x14ac:dyDescent="0.2">
      <c r="B44" s="2" t="s">
        <v>38</v>
      </c>
      <c r="C44" s="2" t="s">
        <v>207</v>
      </c>
      <c r="F44" s="2" t="s">
        <v>196</v>
      </c>
      <c r="I44" s="2" t="s">
        <v>197</v>
      </c>
    </row>
    <row r="45" spans="2:10" ht="13.5" thickBot="1" x14ac:dyDescent="0.25"/>
    <row r="46" spans="2:10" ht="13.5" thickBot="1" x14ac:dyDescent="0.25">
      <c r="B46" s="2" t="s">
        <v>39</v>
      </c>
      <c r="C46" s="10">
        <v>1.6879999999999999</v>
      </c>
      <c r="D46" s="2" t="s">
        <v>194</v>
      </c>
      <c r="E46" s="2" t="s">
        <v>118</v>
      </c>
      <c r="F46" s="10">
        <v>1.4999999999999999E-2</v>
      </c>
      <c r="G46" s="2" t="s">
        <v>107</v>
      </c>
      <c r="H46" s="2" t="s">
        <v>39</v>
      </c>
      <c r="I46" s="10">
        <v>1.6879999999999999</v>
      </c>
      <c r="J46" s="2" t="s">
        <v>194</v>
      </c>
    </row>
    <row r="47" spans="2:10" ht="13.5" thickBot="1" x14ac:dyDescent="0.25"/>
    <row r="48" spans="2:10" ht="13.5" thickBot="1" x14ac:dyDescent="0.25">
      <c r="B48" s="2" t="s">
        <v>118</v>
      </c>
      <c r="C48" s="10">
        <v>1.4999999999999999E-2</v>
      </c>
      <c r="D48" s="2" t="s">
        <v>107</v>
      </c>
      <c r="E48" s="2" t="s">
        <v>122</v>
      </c>
      <c r="F48" s="10">
        <v>1000</v>
      </c>
      <c r="G48" s="2" t="s">
        <v>123</v>
      </c>
      <c r="H48" s="2" t="s">
        <v>122</v>
      </c>
      <c r="I48" s="10">
        <v>1000</v>
      </c>
      <c r="J48" s="2" t="s">
        <v>123</v>
      </c>
    </row>
    <row r="50" spans="2:10" x14ac:dyDescent="0.2">
      <c r="B50" s="2" t="s">
        <v>149</v>
      </c>
      <c r="E50" s="2" t="s">
        <v>149</v>
      </c>
      <c r="H50" s="2" t="s">
        <v>149</v>
      </c>
    </row>
    <row r="51" spans="2:10" x14ac:dyDescent="0.2">
      <c r="B51" s="2" t="s">
        <v>122</v>
      </c>
      <c r="C51" s="2">
        <f>1/(2*PI()*SQRT(C46*(C48*0.000001)))</f>
        <v>1000.2032951053851</v>
      </c>
      <c r="E51" s="2" t="s">
        <v>39</v>
      </c>
      <c r="F51" s="2">
        <f>1/(4*(PI()^2)*F48^2*(F46*0.000001))</f>
        <v>1.6886863940389631</v>
      </c>
      <c r="H51" s="2" t="s">
        <v>118</v>
      </c>
      <c r="I51" s="2">
        <f>(1/(4*(PI()^2)*I48^2*I46))*1000000</f>
        <v>1.5006099473095053E-2</v>
      </c>
      <c r="J51" s="2" t="s">
        <v>107</v>
      </c>
    </row>
  </sheetData>
  <sheetProtection sheet="1" objects="1" scenarios="1"/>
  <pageMargins left="0.7" right="0.7" top="0.75" bottom="0.75" header="0.3" footer="0.3"/>
  <pageSetup orientation="portrait" horizontalDpi="30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F31CE-BDD0-4415-918C-AF2A3B987570}">
  <sheetPr codeName="Sheet6"/>
  <dimension ref="A1:I17"/>
  <sheetViews>
    <sheetView topLeftCell="A2" workbookViewId="0">
      <selection activeCell="E3" sqref="E3"/>
    </sheetView>
  </sheetViews>
  <sheetFormatPr defaultColWidth="10.7109375" defaultRowHeight="12.75" x14ac:dyDescent="0.2"/>
  <cols>
    <col min="1" max="16384" width="10.7109375" style="2"/>
  </cols>
  <sheetData>
    <row r="1" spans="1:9" x14ac:dyDescent="0.2">
      <c r="A1" s="2" t="s">
        <v>401</v>
      </c>
    </row>
    <row r="3" spans="1:9" x14ac:dyDescent="0.2">
      <c r="A3" s="7" t="s">
        <v>51</v>
      </c>
      <c r="E3" s="8" t="s">
        <v>283</v>
      </c>
    </row>
    <row r="4" spans="1:9" x14ac:dyDescent="0.2">
      <c r="A4" s="2" t="s">
        <v>284</v>
      </c>
      <c r="G4" s="13" t="s">
        <v>149</v>
      </c>
    </row>
    <row r="5" spans="1:9" x14ac:dyDescent="0.2">
      <c r="I5" s="2" t="s">
        <v>38</v>
      </c>
    </row>
    <row r="6" spans="1:9" ht="13.5" thickBot="1" x14ac:dyDescent="0.25">
      <c r="E6" s="5" t="s">
        <v>216</v>
      </c>
      <c r="F6" s="2" t="s">
        <v>218</v>
      </c>
      <c r="G6" s="2" t="s">
        <v>217</v>
      </c>
    </row>
    <row r="7" spans="1:9" ht="13.5" thickBot="1" x14ac:dyDescent="0.25">
      <c r="E7" s="10">
        <v>1</v>
      </c>
      <c r="F7" s="10">
        <v>3</v>
      </c>
      <c r="G7" s="13">
        <f>10^(F7/20)*E7</f>
        <v>1.4125375446227544</v>
      </c>
      <c r="I7" s="21" t="s">
        <v>396</v>
      </c>
    </row>
    <row r="9" spans="1:9" ht="13.5" thickBot="1" x14ac:dyDescent="0.25">
      <c r="E9" s="5" t="s">
        <v>216</v>
      </c>
      <c r="F9" s="5" t="s">
        <v>217</v>
      </c>
      <c r="G9" s="5" t="s">
        <v>218</v>
      </c>
    </row>
    <row r="10" spans="1:9" ht="13.5" thickBot="1" x14ac:dyDescent="0.25">
      <c r="E10" s="22">
        <v>1</v>
      </c>
      <c r="F10" s="22">
        <v>1.4125375449999999</v>
      </c>
      <c r="G10" s="61">
        <f>20*LOG10(F10/E10)</f>
        <v>3.000000002319736</v>
      </c>
      <c r="I10" s="2" t="s">
        <v>397</v>
      </c>
    </row>
    <row r="13" spans="1:9" ht="13.5" thickBot="1" x14ac:dyDescent="0.25">
      <c r="E13" s="5" t="s">
        <v>399</v>
      </c>
      <c r="F13" s="2" t="s">
        <v>218</v>
      </c>
      <c r="G13" s="2" t="s">
        <v>400</v>
      </c>
    </row>
    <row r="14" spans="1:9" ht="13.5" thickBot="1" x14ac:dyDescent="0.25">
      <c r="E14" s="10">
        <v>1</v>
      </c>
      <c r="F14" s="10">
        <v>3</v>
      </c>
      <c r="G14" s="13">
        <v>1.995262315</v>
      </c>
      <c r="I14" s="21" t="s">
        <v>402</v>
      </c>
    </row>
    <row r="16" spans="1:9" ht="13.5" thickBot="1" x14ac:dyDescent="0.25">
      <c r="E16" s="5" t="s">
        <v>399</v>
      </c>
      <c r="F16" s="5" t="s">
        <v>400</v>
      </c>
      <c r="G16" s="5" t="s">
        <v>218</v>
      </c>
    </row>
    <row r="17" spans="5:9" ht="13.5" thickBot="1" x14ac:dyDescent="0.25">
      <c r="E17" s="22">
        <v>1</v>
      </c>
      <c r="F17" s="22">
        <v>1.995262315</v>
      </c>
      <c r="G17" s="61">
        <f>10*LOG10(F17/E17)</f>
        <v>3.0000000000677374</v>
      </c>
      <c r="I17" s="2" t="s">
        <v>398</v>
      </c>
    </row>
  </sheetData>
  <sheetProtection sheet="1" objects="1" scenarios="1"/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E6DE1-41B9-4BF5-BF78-DB91CED44096}">
  <sheetPr codeName="Sheet7"/>
  <dimension ref="A1:H23"/>
  <sheetViews>
    <sheetView workbookViewId="0">
      <selection activeCell="E3" sqref="E3"/>
    </sheetView>
  </sheetViews>
  <sheetFormatPr defaultColWidth="10.7109375" defaultRowHeight="12.75" x14ac:dyDescent="0.2"/>
  <cols>
    <col min="1" max="6" width="10.7109375" style="5"/>
    <col min="7" max="8" width="14.7109375" style="5" customWidth="1"/>
    <col min="9" max="16384" width="10.7109375" style="5"/>
  </cols>
  <sheetData>
    <row r="1" spans="1:8" x14ac:dyDescent="0.2">
      <c r="A1" s="5" t="s">
        <v>219</v>
      </c>
    </row>
    <row r="3" spans="1:8" x14ac:dyDescent="0.2">
      <c r="A3" s="7" t="s">
        <v>51</v>
      </c>
      <c r="B3" s="2"/>
      <c r="C3" s="2"/>
      <c r="D3" s="2"/>
      <c r="E3" s="8" t="s">
        <v>283</v>
      </c>
      <c r="H3" s="13" t="s">
        <v>149</v>
      </c>
    </row>
    <row r="4" spans="1:8" x14ac:dyDescent="0.2">
      <c r="A4" s="2" t="s">
        <v>284</v>
      </c>
      <c r="B4" s="2"/>
      <c r="C4" s="2"/>
      <c r="D4" s="2"/>
      <c r="E4" s="2"/>
    </row>
    <row r="5" spans="1:8" x14ac:dyDescent="0.2">
      <c r="H5" s="5" t="s">
        <v>308</v>
      </c>
    </row>
    <row r="6" spans="1:8" ht="13.5" thickBot="1" x14ac:dyDescent="0.25">
      <c r="E6" s="5" t="s">
        <v>220</v>
      </c>
      <c r="F6" s="5" t="s">
        <v>221</v>
      </c>
      <c r="G6" s="5" t="s">
        <v>222</v>
      </c>
      <c r="H6" s="5" t="s">
        <v>235</v>
      </c>
    </row>
    <row r="7" spans="1:8" ht="13.5" thickBot="1" x14ac:dyDescent="0.25">
      <c r="E7" s="22">
        <v>9</v>
      </c>
      <c r="F7" s="22">
        <v>2</v>
      </c>
      <c r="G7" s="16">
        <v>7</v>
      </c>
      <c r="H7" s="57">
        <f>(E7-F7)/(G7/1000)</f>
        <v>1000</v>
      </c>
    </row>
    <row r="9" spans="1:8" x14ac:dyDescent="0.2">
      <c r="G9" s="17"/>
      <c r="H9" s="23" t="s">
        <v>309</v>
      </c>
    </row>
    <row r="10" spans="1:8" ht="13.5" thickBot="1" x14ac:dyDescent="0.25">
      <c r="G10" s="5" t="s">
        <v>235</v>
      </c>
      <c r="H10" s="5" t="s">
        <v>222</v>
      </c>
    </row>
    <row r="11" spans="1:8" ht="13.5" thickBot="1" x14ac:dyDescent="0.25">
      <c r="G11" s="22">
        <v>1000</v>
      </c>
      <c r="H11" s="61">
        <f>(E7-F7)/(G11/1000)</f>
        <v>7</v>
      </c>
    </row>
    <row r="14" spans="1:8" x14ac:dyDescent="0.2">
      <c r="C14" s="5" t="s">
        <v>316</v>
      </c>
    </row>
    <row r="15" spans="1:8" x14ac:dyDescent="0.2">
      <c r="C15" s="5" t="s">
        <v>290</v>
      </c>
      <c r="D15" s="5" t="s">
        <v>306</v>
      </c>
      <c r="E15" s="5" t="s">
        <v>291</v>
      </c>
    </row>
    <row r="16" spans="1:8" x14ac:dyDescent="0.2">
      <c r="C16" s="5" t="s">
        <v>305</v>
      </c>
      <c r="D16" s="5">
        <v>3.8</v>
      </c>
      <c r="E16" s="5" t="s">
        <v>292</v>
      </c>
    </row>
    <row r="17" spans="3:5" x14ac:dyDescent="0.2">
      <c r="C17" s="5" t="s">
        <v>293</v>
      </c>
      <c r="D17" s="5">
        <v>3.5</v>
      </c>
      <c r="E17" s="5" t="s">
        <v>294</v>
      </c>
    </row>
    <row r="18" spans="3:5" x14ac:dyDescent="0.2">
      <c r="C18" s="5" t="s">
        <v>307</v>
      </c>
      <c r="D18" s="5">
        <v>3.2</v>
      </c>
      <c r="E18" s="5" t="s">
        <v>295</v>
      </c>
    </row>
    <row r="19" spans="3:5" x14ac:dyDescent="0.2">
      <c r="C19" s="5" t="s">
        <v>296</v>
      </c>
      <c r="D19" s="5">
        <v>2.6</v>
      </c>
      <c r="E19" s="5" t="s">
        <v>297</v>
      </c>
    </row>
    <row r="20" spans="3:5" x14ac:dyDescent="0.2">
      <c r="C20" s="5" t="s">
        <v>298</v>
      </c>
      <c r="D20" s="5">
        <v>2.2999999999999998</v>
      </c>
      <c r="E20" s="5" t="s">
        <v>299</v>
      </c>
    </row>
    <row r="21" spans="3:5" x14ac:dyDescent="0.2">
      <c r="C21" s="5" t="s">
        <v>300</v>
      </c>
      <c r="D21" s="5">
        <v>2.1</v>
      </c>
      <c r="E21" s="5" t="s">
        <v>299</v>
      </c>
    </row>
    <row r="22" spans="3:5" x14ac:dyDescent="0.2">
      <c r="C22" s="5" t="s">
        <v>301</v>
      </c>
      <c r="D22" s="5">
        <v>1.6</v>
      </c>
      <c r="E22" s="5" t="s">
        <v>302</v>
      </c>
    </row>
    <row r="23" spans="3:5" x14ac:dyDescent="0.2">
      <c r="C23" s="5" t="s">
        <v>303</v>
      </c>
      <c r="E23" s="5" t="s">
        <v>304</v>
      </c>
    </row>
  </sheetData>
  <sheetProtection sheet="1" objects="1" scenarios="1"/>
  <pageMargins left="0.7" right="0.7" top="0.75" bottom="0.75" header="0.3" footer="0.3"/>
  <pageSetup orientation="portrait" horizontalDpi="3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33E0D-5418-4190-9C58-F9B762438B86}">
  <sheetPr codeName="Sheet8"/>
  <dimension ref="A1:R37"/>
  <sheetViews>
    <sheetView workbookViewId="0">
      <selection activeCell="E3" sqref="E3"/>
    </sheetView>
  </sheetViews>
  <sheetFormatPr defaultColWidth="10.7109375" defaultRowHeight="12.75" x14ac:dyDescent="0.2"/>
  <cols>
    <col min="1" max="9" width="10.7109375" style="5"/>
    <col min="10" max="10" width="20.85546875" style="5" bestFit="1" customWidth="1"/>
    <col min="11" max="16384" width="10.7109375" style="5"/>
  </cols>
  <sheetData>
    <row r="1" spans="1:18" x14ac:dyDescent="0.2">
      <c r="A1" s="5" t="s">
        <v>236</v>
      </c>
    </row>
    <row r="3" spans="1:18" x14ac:dyDescent="0.2">
      <c r="A3" s="7" t="s">
        <v>51</v>
      </c>
      <c r="B3" s="2"/>
      <c r="C3" s="2"/>
      <c r="D3" s="2"/>
      <c r="E3" s="8" t="s">
        <v>283</v>
      </c>
      <c r="J3" s="13" t="s">
        <v>149</v>
      </c>
    </row>
    <row r="4" spans="1:18" x14ac:dyDescent="0.2">
      <c r="A4" s="2" t="s">
        <v>284</v>
      </c>
      <c r="B4" s="2"/>
      <c r="C4" s="2"/>
      <c r="D4" s="2"/>
      <c r="E4" s="2"/>
    </row>
    <row r="6" spans="1:18" ht="13.5" thickBot="1" x14ac:dyDescent="0.25">
      <c r="D6" s="5" t="s">
        <v>237</v>
      </c>
      <c r="E6" s="5" t="s">
        <v>238</v>
      </c>
      <c r="F6" s="5" t="s">
        <v>239</v>
      </c>
      <c r="G6" s="5" t="s">
        <v>240</v>
      </c>
      <c r="H6" s="5" t="s">
        <v>241</v>
      </c>
      <c r="I6" s="5" t="s">
        <v>242</v>
      </c>
      <c r="J6" s="5" t="s">
        <v>260</v>
      </c>
      <c r="K6" s="5" t="s">
        <v>279</v>
      </c>
    </row>
    <row r="7" spans="1:18" ht="13.5" thickBot="1" x14ac:dyDescent="0.25">
      <c r="D7" s="15">
        <v>9</v>
      </c>
      <c r="E7" s="16">
        <v>99</v>
      </c>
      <c r="F7" s="16">
        <v>4700</v>
      </c>
      <c r="G7" s="16">
        <v>470</v>
      </c>
      <c r="H7" s="16">
        <v>47000</v>
      </c>
      <c r="I7" s="16">
        <v>10000</v>
      </c>
      <c r="J7" s="58">
        <f>1/((1/H7)+(1/I7))</f>
        <v>8245.6140350877195</v>
      </c>
      <c r="K7" s="58">
        <f>((J7*J13)-0.7)/J13</f>
        <v>8201.6160310957039</v>
      </c>
      <c r="R7" s="24"/>
    </row>
    <row r="9" spans="1:18" x14ac:dyDescent="0.2">
      <c r="D9" s="5" t="s">
        <v>248</v>
      </c>
      <c r="F9" s="5" t="s">
        <v>246</v>
      </c>
      <c r="G9" s="5" t="s">
        <v>247</v>
      </c>
      <c r="H9" s="5" t="s">
        <v>310</v>
      </c>
      <c r="J9" s="5" t="s">
        <v>261</v>
      </c>
      <c r="K9" s="5" t="s">
        <v>277</v>
      </c>
    </row>
    <row r="10" spans="1:18" x14ac:dyDescent="0.2">
      <c r="D10" s="56">
        <f>D7-((G13/1000)*(F7+G7))</f>
        <v>0.77462686567164063</v>
      </c>
      <c r="F10" s="56">
        <f>G13*F7/1000</f>
        <v>7.4776119402985097</v>
      </c>
      <c r="G10" s="56">
        <f>G13*G7/1000</f>
        <v>0.74776119402985086</v>
      </c>
      <c r="H10" s="57">
        <f>F7/G7</f>
        <v>10</v>
      </c>
      <c r="J10" s="56">
        <f>D7*(I7/(H7+I7))</f>
        <v>1.5789473684210527</v>
      </c>
      <c r="K10" s="56">
        <f>(J13*(I7/(H7+I7)))*1000</f>
        <v>2.7911951998128064</v>
      </c>
      <c r="L10" s="19"/>
    </row>
    <row r="12" spans="1:18" x14ac:dyDescent="0.2">
      <c r="F12" s="5" t="s">
        <v>250</v>
      </c>
      <c r="G12" s="5" t="s">
        <v>249</v>
      </c>
      <c r="J12" s="5" t="s">
        <v>243</v>
      </c>
      <c r="K12" s="5" t="s">
        <v>311</v>
      </c>
    </row>
    <row r="13" spans="1:18" x14ac:dyDescent="0.2">
      <c r="F13" s="56">
        <f>J13*E7</f>
        <v>1.5750714512543667</v>
      </c>
      <c r="G13" s="56">
        <f>((J10-0.7)/((J7/(E7+1))+G7))*1000</f>
        <v>1.5909812638932999</v>
      </c>
      <c r="J13" s="56">
        <f>((((I7*D7)/(H7+I7))-0.7)/(J7+((E7+1)*G7)))*1000</f>
        <v>1.5909812638932996E-2</v>
      </c>
      <c r="K13" s="56">
        <f>K10*H10</f>
        <v>27.911951998128064</v>
      </c>
    </row>
    <row r="16" spans="1:18" x14ac:dyDescent="0.2">
      <c r="D16" s="5" t="s">
        <v>251</v>
      </c>
    </row>
    <row r="18" spans="4:4" x14ac:dyDescent="0.2">
      <c r="D18" s="5" t="s">
        <v>262</v>
      </c>
    </row>
    <row r="19" spans="4:4" x14ac:dyDescent="0.2">
      <c r="D19" s="5" t="s">
        <v>252</v>
      </c>
    </row>
    <row r="21" spans="4:4" x14ac:dyDescent="0.2">
      <c r="D21" s="5" t="s">
        <v>312</v>
      </c>
    </row>
    <row r="22" spans="4:4" x14ac:dyDescent="0.2">
      <c r="D22" s="5" t="s">
        <v>259</v>
      </c>
    </row>
    <row r="23" spans="4:4" x14ac:dyDescent="0.2">
      <c r="D23" s="5" t="s">
        <v>253</v>
      </c>
    </row>
    <row r="24" spans="4:4" x14ac:dyDescent="0.2">
      <c r="D24" s="5" t="s">
        <v>266</v>
      </c>
    </row>
    <row r="25" spans="4:4" x14ac:dyDescent="0.2">
      <c r="D25" s="5" t="s">
        <v>267</v>
      </c>
    </row>
    <row r="26" spans="4:4" x14ac:dyDescent="0.2">
      <c r="D26" s="5" t="s">
        <v>280</v>
      </c>
    </row>
    <row r="27" spans="4:4" x14ac:dyDescent="0.2">
      <c r="D27" s="5" t="s">
        <v>265</v>
      </c>
    </row>
    <row r="29" spans="4:4" x14ac:dyDescent="0.2">
      <c r="D29" s="5" t="s">
        <v>254</v>
      </c>
    </row>
    <row r="30" spans="4:4" x14ac:dyDescent="0.2">
      <c r="D30" s="5" t="s">
        <v>255</v>
      </c>
    </row>
    <row r="31" spans="4:4" x14ac:dyDescent="0.2">
      <c r="D31" s="5" t="s">
        <v>268</v>
      </c>
    </row>
    <row r="32" spans="4:4" x14ac:dyDescent="0.2">
      <c r="D32" s="5" t="s">
        <v>269</v>
      </c>
    </row>
    <row r="33" spans="4:4" x14ac:dyDescent="0.2">
      <c r="D33" s="5" t="s">
        <v>256</v>
      </c>
    </row>
    <row r="34" spans="4:4" x14ac:dyDescent="0.2">
      <c r="D34" s="5" t="s">
        <v>257</v>
      </c>
    </row>
    <row r="35" spans="4:4" x14ac:dyDescent="0.2">
      <c r="D35" s="5" t="s">
        <v>258</v>
      </c>
    </row>
    <row r="36" spans="4:4" x14ac:dyDescent="0.2">
      <c r="D36" s="5" t="s">
        <v>278</v>
      </c>
    </row>
    <row r="37" spans="4:4" x14ac:dyDescent="0.2">
      <c r="D37" s="5" t="s">
        <v>286</v>
      </c>
    </row>
  </sheetData>
  <sheetProtection sheet="1" objects="1" scenarios="1"/>
  <pageMargins left="0.7" right="0.7" top="0.75" bottom="0.75" header="0.3" footer="0.3"/>
  <pageSetup orientation="portrait" horizontalDpi="30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86252-629F-4DCB-9D7E-1D3E74E9BD27}">
  <sheetPr codeName="Sheet9"/>
  <dimension ref="A1:N30"/>
  <sheetViews>
    <sheetView zoomScaleNormal="100" workbookViewId="0">
      <selection activeCell="E3" sqref="E3"/>
    </sheetView>
  </sheetViews>
  <sheetFormatPr defaultRowHeight="12.75" x14ac:dyDescent="0.2"/>
  <cols>
    <col min="1" max="1" width="5.7109375" style="25" customWidth="1"/>
    <col min="2" max="2" width="15.7109375" style="25" customWidth="1"/>
    <col min="3" max="4" width="10.7109375" style="25" customWidth="1"/>
    <col min="5" max="5" width="15.7109375" style="25" customWidth="1"/>
    <col min="6" max="7" width="10.7109375" style="25" customWidth="1"/>
    <col min="8" max="8" width="25.7109375" style="25" customWidth="1"/>
    <col min="9" max="9" width="10.7109375" style="25" customWidth="1"/>
    <col min="10" max="10" width="5.7109375" style="25" customWidth="1"/>
    <col min="11" max="14" width="15.7109375" style="25" customWidth="1"/>
    <col min="15" max="16384" width="9.140625" style="25"/>
  </cols>
  <sheetData>
    <row r="1" spans="1:14" x14ac:dyDescent="0.2">
      <c r="A1" s="25" t="s">
        <v>88</v>
      </c>
    </row>
    <row r="2" spans="1:14" x14ac:dyDescent="0.2">
      <c r="B2" s="7"/>
      <c r="F2" s="7"/>
    </row>
    <row r="3" spans="1:14" x14ac:dyDescent="0.2">
      <c r="A3" s="7" t="s">
        <v>51</v>
      </c>
      <c r="B3" s="2"/>
      <c r="C3" s="2"/>
      <c r="D3" s="2"/>
      <c r="E3" s="8" t="s">
        <v>283</v>
      </c>
      <c r="F3" s="7"/>
      <c r="H3" s="13" t="s">
        <v>149</v>
      </c>
    </row>
    <row r="4" spans="1:14" ht="13.5" thickBot="1" x14ac:dyDescent="0.25">
      <c r="A4" s="2" t="s">
        <v>284</v>
      </c>
      <c r="B4" s="2"/>
      <c r="C4" s="2"/>
      <c r="D4" s="2"/>
      <c r="E4" s="2"/>
      <c r="F4" s="7"/>
      <c r="L4" s="25" t="s">
        <v>89</v>
      </c>
    </row>
    <row r="5" spans="1:14" ht="13.5" thickBot="1" x14ac:dyDescent="0.25">
      <c r="E5" s="25" t="s">
        <v>277</v>
      </c>
      <c r="F5" s="10">
        <v>100</v>
      </c>
      <c r="H5" s="25" t="s">
        <v>314</v>
      </c>
      <c r="I5" s="62">
        <f>(F5*C11*C24)/1000</f>
        <v>5</v>
      </c>
      <c r="J5" s="25" t="s">
        <v>36</v>
      </c>
      <c r="K5" s="26"/>
    </row>
    <row r="6" spans="1:14" ht="13.5" thickBot="1" x14ac:dyDescent="0.25">
      <c r="B6" s="25" t="s">
        <v>136</v>
      </c>
      <c r="K6" s="27" t="s">
        <v>90</v>
      </c>
      <c r="L6" s="27" t="s">
        <v>91</v>
      </c>
      <c r="M6" s="27" t="s">
        <v>92</v>
      </c>
      <c r="N6" s="27" t="s">
        <v>93</v>
      </c>
    </row>
    <row r="7" spans="1:14" ht="13.5" thickBot="1" x14ac:dyDescent="0.25">
      <c r="B7" s="25" t="s">
        <v>133</v>
      </c>
      <c r="C7" s="10">
        <v>0.70699999999999996</v>
      </c>
      <c r="K7" s="66">
        <f>C15</f>
        <v>33604.545454545456</v>
      </c>
      <c r="L7" s="66">
        <f>C13</f>
        <v>4500</v>
      </c>
      <c r="M7" s="66">
        <f>C28</f>
        <v>33604.545454545456</v>
      </c>
      <c r="N7" s="66">
        <f>C26</f>
        <v>4500</v>
      </c>
    </row>
    <row r="8" spans="1:14" ht="26.25" thickBot="1" x14ac:dyDescent="0.25">
      <c r="B8" s="25" t="s">
        <v>94</v>
      </c>
      <c r="C8" s="10">
        <v>9</v>
      </c>
      <c r="E8" s="25" t="s">
        <v>95</v>
      </c>
      <c r="F8" s="10">
        <v>4.5</v>
      </c>
      <c r="H8" s="29" t="s">
        <v>96</v>
      </c>
      <c r="I8" s="62">
        <f>C8-(F8*(2))</f>
        <v>0</v>
      </c>
      <c r="J8" s="25" t="s">
        <v>36</v>
      </c>
      <c r="K8" s="28"/>
      <c r="L8" s="28"/>
      <c r="M8" s="28"/>
      <c r="N8" s="28"/>
    </row>
    <row r="9" spans="1:14" ht="13.5" thickBot="1" x14ac:dyDescent="0.25">
      <c r="B9" s="25" t="s">
        <v>97</v>
      </c>
      <c r="C9" s="10">
        <v>1E-3</v>
      </c>
      <c r="H9" s="25" t="s">
        <v>98</v>
      </c>
      <c r="I9" s="62">
        <f>F8/C13</f>
        <v>1E-3</v>
      </c>
      <c r="J9" s="25" t="s">
        <v>404</v>
      </c>
      <c r="K9" s="28"/>
      <c r="L9" s="28"/>
      <c r="M9" s="28"/>
      <c r="N9" s="28"/>
    </row>
    <row r="10" spans="1:14" ht="13.5" thickBot="1" x14ac:dyDescent="0.25">
      <c r="B10" s="25" t="s">
        <v>126</v>
      </c>
      <c r="C10" s="10">
        <v>50</v>
      </c>
      <c r="K10" s="28"/>
      <c r="L10" s="28"/>
      <c r="M10" s="28"/>
      <c r="N10" s="28"/>
    </row>
    <row r="11" spans="1:14" ht="13.5" thickBot="1" x14ac:dyDescent="0.25">
      <c r="B11" s="25" t="s">
        <v>313</v>
      </c>
      <c r="C11" s="10">
        <v>10</v>
      </c>
      <c r="K11" s="28"/>
      <c r="L11" s="28"/>
      <c r="M11" s="28"/>
      <c r="N11" s="28"/>
    </row>
    <row r="12" spans="1:14" x14ac:dyDescent="0.2">
      <c r="B12" s="25" t="s">
        <v>99</v>
      </c>
      <c r="C12" s="62">
        <f>C9/C10</f>
        <v>2.0000000000000002E-5</v>
      </c>
      <c r="E12" s="25" t="s">
        <v>100</v>
      </c>
      <c r="F12" s="62">
        <f>C12*10</f>
        <v>2.0000000000000001E-4</v>
      </c>
      <c r="G12" s="25" t="s">
        <v>404</v>
      </c>
      <c r="K12" s="28"/>
      <c r="L12" s="28"/>
      <c r="M12" s="28"/>
      <c r="N12" s="28"/>
    </row>
    <row r="13" spans="1:14" x14ac:dyDescent="0.2">
      <c r="B13" s="25" t="s">
        <v>91</v>
      </c>
      <c r="C13" s="63">
        <f>F8/C9</f>
        <v>4500</v>
      </c>
      <c r="E13" s="25" t="s">
        <v>101</v>
      </c>
      <c r="F13" s="62">
        <f>C8/2</f>
        <v>4.5</v>
      </c>
      <c r="G13" s="25" t="s">
        <v>405</v>
      </c>
      <c r="K13" s="28"/>
      <c r="L13" s="28"/>
      <c r="M13" s="28"/>
      <c r="N13" s="28"/>
    </row>
    <row r="14" spans="1:14" x14ac:dyDescent="0.2">
      <c r="B14" s="25" t="s">
        <v>102</v>
      </c>
      <c r="C14" s="63">
        <f>C13/C11</f>
        <v>450</v>
      </c>
      <c r="E14" s="25" t="s">
        <v>103</v>
      </c>
      <c r="F14" s="62">
        <f>C8*0.1</f>
        <v>0.9</v>
      </c>
      <c r="G14" s="25" t="s">
        <v>405</v>
      </c>
      <c r="K14" s="28"/>
      <c r="L14" s="28"/>
      <c r="M14" s="28"/>
      <c r="N14" s="28"/>
    </row>
    <row r="15" spans="1:14" x14ac:dyDescent="0.2">
      <c r="B15" s="25" t="s">
        <v>90</v>
      </c>
      <c r="C15" s="63">
        <f>(C8-F16)/(C12+F12)</f>
        <v>33604.545454545456</v>
      </c>
      <c r="E15" s="25" t="s">
        <v>104</v>
      </c>
      <c r="F15" s="62">
        <f>C8-F16</f>
        <v>7.3929999999999998</v>
      </c>
      <c r="G15" s="25" t="s">
        <v>405</v>
      </c>
      <c r="H15" s="25" t="s">
        <v>138</v>
      </c>
      <c r="I15" s="62">
        <f>C8-F16</f>
        <v>7.3929999999999998</v>
      </c>
      <c r="J15" s="25" t="s">
        <v>36</v>
      </c>
      <c r="K15" s="28"/>
      <c r="L15" s="28"/>
      <c r="M15" s="28"/>
      <c r="N15" s="28"/>
    </row>
    <row r="16" spans="1:14" ht="13.5" thickBot="1" x14ac:dyDescent="0.25">
      <c r="B16" s="25" t="s">
        <v>105</v>
      </c>
      <c r="C16" s="63">
        <f>F16/F12</f>
        <v>8034.9999999999991</v>
      </c>
      <c r="E16" s="25" t="s">
        <v>106</v>
      </c>
      <c r="F16" s="62">
        <f>C7+F14</f>
        <v>1.607</v>
      </c>
      <c r="G16" s="25" t="s">
        <v>405</v>
      </c>
      <c r="H16" s="25" t="s">
        <v>315</v>
      </c>
      <c r="K16" s="28"/>
      <c r="L16" s="28"/>
      <c r="M16" s="28"/>
      <c r="N16" s="28"/>
    </row>
    <row r="17" spans="2:14" ht="13.5" thickBot="1" x14ac:dyDescent="0.25">
      <c r="B17" s="25" t="s">
        <v>129</v>
      </c>
      <c r="C17" s="10">
        <v>100</v>
      </c>
      <c r="E17" s="25" t="s">
        <v>128</v>
      </c>
      <c r="F17" s="65">
        <f>1/((2*PI()*C14*C17)*0.000001)</f>
        <v>3.5367765131532298</v>
      </c>
      <c r="G17" s="25" t="s">
        <v>107</v>
      </c>
      <c r="H17" s="25" t="s">
        <v>198</v>
      </c>
      <c r="K17" s="28"/>
      <c r="L17" s="28"/>
      <c r="M17" s="28"/>
      <c r="N17" s="28"/>
    </row>
    <row r="18" spans="2:14" x14ac:dyDescent="0.2">
      <c r="C18" s="30"/>
      <c r="K18" s="28"/>
      <c r="L18" s="28"/>
      <c r="M18" s="28"/>
      <c r="N18" s="28"/>
    </row>
    <row r="19" spans="2:14" ht="13.5" thickBot="1" x14ac:dyDescent="0.25">
      <c r="B19" s="25" t="s">
        <v>137</v>
      </c>
      <c r="C19" s="30"/>
      <c r="K19" s="28"/>
      <c r="L19" s="28"/>
      <c r="M19" s="28"/>
      <c r="N19" s="28"/>
    </row>
    <row r="20" spans="2:14" ht="13.5" thickBot="1" x14ac:dyDescent="0.25">
      <c r="B20" s="25" t="s">
        <v>135</v>
      </c>
      <c r="C20" s="10">
        <v>0.70699999999999996</v>
      </c>
      <c r="K20" s="28"/>
      <c r="L20" s="28"/>
      <c r="M20" s="28"/>
      <c r="N20" s="28"/>
    </row>
    <row r="21" spans="2:14" ht="26.25" thickBot="1" x14ac:dyDescent="0.25">
      <c r="B21" s="25" t="s">
        <v>94</v>
      </c>
      <c r="C21" s="62">
        <f>C8</f>
        <v>9</v>
      </c>
      <c r="E21" s="25" t="s">
        <v>95</v>
      </c>
      <c r="F21" s="62">
        <f>F8</f>
        <v>4.5</v>
      </c>
      <c r="H21" s="29" t="s">
        <v>132</v>
      </c>
      <c r="I21" s="25">
        <f>I8</f>
        <v>0</v>
      </c>
      <c r="J21" s="25" t="s">
        <v>36</v>
      </c>
      <c r="K21" s="28"/>
      <c r="L21" s="28"/>
      <c r="M21" s="28"/>
      <c r="N21" s="28"/>
    </row>
    <row r="22" spans="2:14" ht="13.5" thickBot="1" x14ac:dyDescent="0.25">
      <c r="B22" s="25" t="s">
        <v>108</v>
      </c>
      <c r="C22" s="10">
        <v>1E-3</v>
      </c>
      <c r="H22" s="25" t="s">
        <v>109</v>
      </c>
      <c r="I22" s="62">
        <f>F21/C26</f>
        <v>1E-3</v>
      </c>
      <c r="J22" s="25" t="s">
        <v>404</v>
      </c>
      <c r="K22" s="28"/>
      <c r="L22" s="28"/>
      <c r="M22" s="28"/>
      <c r="N22" s="28"/>
    </row>
    <row r="23" spans="2:14" ht="13.5" thickBot="1" x14ac:dyDescent="0.25">
      <c r="B23" s="25" t="s">
        <v>127</v>
      </c>
      <c r="C23" s="10">
        <v>50</v>
      </c>
      <c r="K23" s="66">
        <f>C16</f>
        <v>8034.9999999999991</v>
      </c>
      <c r="L23" s="66">
        <f>C14</f>
        <v>450</v>
      </c>
      <c r="M23" s="66">
        <f>C29</f>
        <v>8034.9999999999991</v>
      </c>
      <c r="N23" s="66">
        <f>C27</f>
        <v>900</v>
      </c>
    </row>
    <row r="24" spans="2:14" ht="13.5" thickBot="1" x14ac:dyDescent="0.25">
      <c r="B24" s="25" t="s">
        <v>125</v>
      </c>
      <c r="C24" s="10">
        <v>5</v>
      </c>
      <c r="K24" s="27" t="s">
        <v>105</v>
      </c>
      <c r="L24" s="27" t="s">
        <v>102</v>
      </c>
      <c r="M24" s="27" t="s">
        <v>110</v>
      </c>
      <c r="N24" s="27" t="s">
        <v>114</v>
      </c>
    </row>
    <row r="25" spans="2:14" x14ac:dyDescent="0.2">
      <c r="B25" s="25" t="s">
        <v>111</v>
      </c>
      <c r="C25" s="62">
        <f>C22/C23</f>
        <v>2.0000000000000002E-5</v>
      </c>
      <c r="E25" s="25" t="s">
        <v>112</v>
      </c>
      <c r="F25" s="62">
        <f>C25*10</f>
        <v>2.0000000000000001E-4</v>
      </c>
      <c r="G25" s="25" t="s">
        <v>404</v>
      </c>
    </row>
    <row r="26" spans="2:14" x14ac:dyDescent="0.2">
      <c r="B26" s="25" t="s">
        <v>93</v>
      </c>
      <c r="C26" s="64">
        <f>(C21/2)/C22</f>
        <v>4500</v>
      </c>
      <c r="E26" s="25" t="s">
        <v>113</v>
      </c>
      <c r="F26" s="62">
        <f>C21/2</f>
        <v>4.5</v>
      </c>
      <c r="G26" s="25" t="s">
        <v>405</v>
      </c>
    </row>
    <row r="27" spans="2:14" x14ac:dyDescent="0.2">
      <c r="B27" s="25" t="s">
        <v>114</v>
      </c>
      <c r="C27" s="64">
        <f>C26/C24</f>
        <v>900</v>
      </c>
      <c r="E27" s="25" t="s">
        <v>115</v>
      </c>
      <c r="F27" s="62">
        <f>C21*0.1</f>
        <v>0.9</v>
      </c>
      <c r="G27" s="25" t="s">
        <v>405</v>
      </c>
    </row>
    <row r="28" spans="2:14" x14ac:dyDescent="0.2">
      <c r="B28" s="25" t="s">
        <v>92</v>
      </c>
      <c r="C28" s="64">
        <f>(C21-F29)/(C25+F25)</f>
        <v>33604.545454545456</v>
      </c>
      <c r="E28" s="25" t="s">
        <v>116</v>
      </c>
      <c r="F28" s="62">
        <f>C21-F29</f>
        <v>7.3929999999999998</v>
      </c>
      <c r="G28" s="25" t="s">
        <v>405</v>
      </c>
      <c r="H28" s="25" t="s">
        <v>139</v>
      </c>
      <c r="I28" s="62">
        <f>C21-F29</f>
        <v>7.3929999999999998</v>
      </c>
      <c r="J28" s="25" t="s">
        <v>36</v>
      </c>
    </row>
    <row r="29" spans="2:14" ht="13.5" thickBot="1" x14ac:dyDescent="0.25">
      <c r="B29" s="25" t="s">
        <v>110</v>
      </c>
      <c r="C29" s="64">
        <f>F29/F25</f>
        <v>8034.9999999999991</v>
      </c>
      <c r="E29" s="25" t="s">
        <v>117</v>
      </c>
      <c r="F29" s="62">
        <f>C20+F27</f>
        <v>1.607</v>
      </c>
      <c r="G29" s="25" t="s">
        <v>405</v>
      </c>
      <c r="H29" s="25" t="s">
        <v>134</v>
      </c>
    </row>
    <row r="30" spans="2:14" ht="13.5" thickBot="1" x14ac:dyDescent="0.25">
      <c r="B30" s="25" t="s">
        <v>130</v>
      </c>
      <c r="C30" s="10">
        <v>100</v>
      </c>
      <c r="E30" s="25" t="s">
        <v>131</v>
      </c>
      <c r="F30" s="65">
        <f>1/((2*PI()*C27*C30)*0.000001)</f>
        <v>1.7683882565766149</v>
      </c>
      <c r="G30" s="25" t="s">
        <v>107</v>
      </c>
      <c r="H30" s="25" t="s">
        <v>199</v>
      </c>
    </row>
  </sheetData>
  <sheetProtection sheet="1" objects="1" scenarios="1"/>
  <pageMargins left="0.7" right="0.7" top="0.75" bottom="0.75" header="0.3" footer="0.3"/>
  <pageSetup orientation="portrait" horizontalDpi="30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58948-6EAC-4866-AEA5-81BFBFF8C77F}">
  <sheetPr codeName="Sheet10"/>
  <dimension ref="A1:M33"/>
  <sheetViews>
    <sheetView zoomScaleNormal="100" workbookViewId="0">
      <selection activeCell="E3" sqref="E3"/>
    </sheetView>
  </sheetViews>
  <sheetFormatPr defaultColWidth="10.7109375" defaultRowHeight="12.75" x14ac:dyDescent="0.2"/>
  <cols>
    <col min="1" max="5" width="10.7109375" style="5"/>
    <col min="6" max="6" width="12.7109375" style="5" customWidth="1"/>
    <col min="7" max="16384" width="10.7109375" style="5"/>
  </cols>
  <sheetData>
    <row r="1" spans="1:10" x14ac:dyDescent="0.2">
      <c r="A1" s="5" t="s">
        <v>215</v>
      </c>
    </row>
    <row r="3" spans="1:10" x14ac:dyDescent="0.2">
      <c r="A3" s="31" t="s">
        <v>51</v>
      </c>
      <c r="E3" s="32" t="s">
        <v>283</v>
      </c>
      <c r="J3" s="5" t="s">
        <v>148</v>
      </c>
    </row>
    <row r="4" spans="1:10" x14ac:dyDescent="0.2">
      <c r="A4" s="5" t="s">
        <v>284</v>
      </c>
    </row>
    <row r="5" spans="1:10" ht="13.5" thickBot="1" x14ac:dyDescent="0.25"/>
    <row r="6" spans="1:10" ht="13.5" thickBot="1" x14ac:dyDescent="0.25">
      <c r="B6" s="5" t="s">
        <v>150</v>
      </c>
      <c r="C6" s="22">
        <v>1000</v>
      </c>
      <c r="D6" s="5" t="s">
        <v>123</v>
      </c>
      <c r="F6" s="61" t="s">
        <v>149</v>
      </c>
    </row>
    <row r="7" spans="1:10" ht="13.5" thickBot="1" x14ac:dyDescent="0.25"/>
    <row r="8" spans="1:10" ht="13.5" thickBot="1" x14ac:dyDescent="0.25">
      <c r="B8" s="5" t="s">
        <v>208</v>
      </c>
      <c r="C8" s="22">
        <v>1</v>
      </c>
      <c r="D8" s="5" t="s">
        <v>203</v>
      </c>
      <c r="E8" s="5" t="s">
        <v>142</v>
      </c>
      <c r="F8" s="60">
        <f>SQRT(2^C8)/((2^C8)-1)</f>
        <v>1.4142135623730951</v>
      </c>
      <c r="G8" s="5" t="s">
        <v>206</v>
      </c>
    </row>
    <row r="9" spans="1:10" x14ac:dyDescent="0.2">
      <c r="C9" s="33"/>
      <c r="E9" s="5" t="s">
        <v>156</v>
      </c>
      <c r="F9" s="57">
        <f>C6/F8</f>
        <v>707.10678118654744</v>
      </c>
      <c r="G9" s="5" t="s">
        <v>123</v>
      </c>
    </row>
    <row r="10" spans="1:10" x14ac:dyDescent="0.2">
      <c r="C10" s="33"/>
      <c r="E10" s="5" t="s">
        <v>154</v>
      </c>
      <c r="F10" s="57">
        <f>C6-(F9/2)</f>
        <v>646.44660940672634</v>
      </c>
      <c r="G10" s="5" t="s">
        <v>123</v>
      </c>
    </row>
    <row r="11" spans="1:10" x14ac:dyDescent="0.2">
      <c r="E11" s="5" t="s">
        <v>155</v>
      </c>
      <c r="F11" s="57">
        <f>C6+(F9/2)</f>
        <v>1353.5533905932737</v>
      </c>
      <c r="G11" s="5" t="s">
        <v>123</v>
      </c>
    </row>
    <row r="12" spans="1:10" ht="13.5" thickBot="1" x14ac:dyDescent="0.25"/>
    <row r="13" spans="1:10" ht="13.5" thickBot="1" x14ac:dyDescent="0.25">
      <c r="B13" s="5" t="s">
        <v>140</v>
      </c>
      <c r="C13" s="22">
        <v>10000</v>
      </c>
      <c r="D13" s="5" t="s">
        <v>121</v>
      </c>
      <c r="E13" s="5" t="s">
        <v>204</v>
      </c>
      <c r="F13" s="67">
        <f>(1/(4*C8*PI()*C13*C6))/0.000001</f>
        <v>7.9577471545947669E-3</v>
      </c>
      <c r="G13" s="5" t="s">
        <v>107</v>
      </c>
    </row>
    <row r="14" spans="1:10" x14ac:dyDescent="0.2">
      <c r="E14" s="5" t="s">
        <v>204</v>
      </c>
      <c r="F14" s="67">
        <f>(1/(4*C8*PI()*C13*C6))/0.000000001</f>
        <v>7.9577471545947667</v>
      </c>
      <c r="G14" s="5" t="s">
        <v>119</v>
      </c>
    </row>
    <row r="15" spans="1:10" x14ac:dyDescent="0.2">
      <c r="E15" s="5" t="s">
        <v>204</v>
      </c>
      <c r="F15" s="67">
        <f>(1/(4*C8*PI()*C13*C6))/0.000000000001</f>
        <v>7957.7471545947674</v>
      </c>
      <c r="G15" s="5" t="s">
        <v>120</v>
      </c>
    </row>
    <row r="16" spans="1:10" ht="13.5" thickBot="1" x14ac:dyDescent="0.25">
      <c r="F16" s="34"/>
    </row>
    <row r="17" spans="1:13" ht="13.5" thickBot="1" x14ac:dyDescent="0.25">
      <c r="B17" s="5" t="s">
        <v>141</v>
      </c>
      <c r="C17" s="22">
        <v>100000</v>
      </c>
      <c r="D17" s="5" t="s">
        <v>121</v>
      </c>
      <c r="E17" s="5" t="s">
        <v>205</v>
      </c>
      <c r="F17" s="67">
        <f>(C8/(PI()*C17*C6))/0.000001</f>
        <v>3.1830988618379071E-3</v>
      </c>
      <c r="G17" s="5" t="s">
        <v>107</v>
      </c>
    </row>
    <row r="18" spans="1:13" x14ac:dyDescent="0.2">
      <c r="E18" s="5" t="s">
        <v>205</v>
      </c>
      <c r="F18" s="67">
        <f>(C8/(PI()*C17*C6))/0.000000001</f>
        <v>3.183098861837907</v>
      </c>
      <c r="G18" s="5" t="s">
        <v>119</v>
      </c>
    </row>
    <row r="19" spans="1:13" x14ac:dyDescent="0.2">
      <c r="E19" s="5" t="s">
        <v>205</v>
      </c>
      <c r="F19" s="68">
        <f>(C8/(PI()*C17*C6))/0.000000000001</f>
        <v>3183.098861837907</v>
      </c>
      <c r="G19" s="5" t="s">
        <v>120</v>
      </c>
    </row>
    <row r="20" spans="1:13" x14ac:dyDescent="0.2">
      <c r="F20" s="35"/>
    </row>
    <row r="21" spans="1:13" x14ac:dyDescent="0.2">
      <c r="A21" s="5" t="s">
        <v>287</v>
      </c>
    </row>
    <row r="22" spans="1:13" ht="13.5" thickBot="1" x14ac:dyDescent="0.25"/>
    <row r="23" spans="1:13" ht="13.5" thickBot="1" x14ac:dyDescent="0.25">
      <c r="B23" s="5" t="s">
        <v>204</v>
      </c>
      <c r="C23" s="36">
        <v>7.9600000000000001E-3</v>
      </c>
      <c r="D23" s="5" t="s">
        <v>107</v>
      </c>
      <c r="E23" s="5" t="s">
        <v>150</v>
      </c>
      <c r="F23" s="57">
        <f>(1/(4*C8*PI()*C13*C23))/0.000001</f>
        <v>999.71697922044814</v>
      </c>
      <c r="G23" s="5" t="s">
        <v>123</v>
      </c>
    </row>
    <row r="24" spans="1:13" x14ac:dyDescent="0.2">
      <c r="C24" s="86"/>
      <c r="F24" s="17"/>
    </row>
    <row r="25" spans="1:13" x14ac:dyDescent="0.2">
      <c r="E25" s="5" t="s">
        <v>406</v>
      </c>
      <c r="F25" s="68">
        <f>C23</f>
        <v>7.9600000000000001E-3</v>
      </c>
      <c r="G25" s="5" t="s">
        <v>107</v>
      </c>
    </row>
    <row r="26" spans="1:13" x14ac:dyDescent="0.2">
      <c r="E26" s="5" t="s">
        <v>204</v>
      </c>
      <c r="F26" s="68">
        <f>C23*1000</f>
        <v>7.96</v>
      </c>
      <c r="G26" s="5" t="s">
        <v>119</v>
      </c>
    </row>
    <row r="27" spans="1:13" x14ac:dyDescent="0.2">
      <c r="E27" s="5" t="s">
        <v>204</v>
      </c>
      <c r="F27" s="68">
        <f>F26*1000</f>
        <v>7960</v>
      </c>
      <c r="G27" s="5" t="s">
        <v>120</v>
      </c>
      <c r="I27" s="5" t="s">
        <v>152</v>
      </c>
      <c r="M27" s="5" t="s">
        <v>38</v>
      </c>
    </row>
    <row r="28" spans="1:13" x14ac:dyDescent="0.2">
      <c r="I28" s="5" t="s">
        <v>151</v>
      </c>
      <c r="M28" s="5" t="s">
        <v>210</v>
      </c>
    </row>
    <row r="29" spans="1:13" x14ac:dyDescent="0.2">
      <c r="E29" s="5" t="s">
        <v>205</v>
      </c>
      <c r="F29" s="68">
        <f>(C8/(PI()*C17*F23))/0.000001</f>
        <v>3.1840000000000002E-3</v>
      </c>
      <c r="G29" s="5" t="s">
        <v>107</v>
      </c>
      <c r="I29" s="5" t="s">
        <v>159</v>
      </c>
      <c r="M29" s="5" t="s">
        <v>227</v>
      </c>
    </row>
    <row r="30" spans="1:13" x14ac:dyDescent="0.2">
      <c r="E30" s="5" t="s">
        <v>205</v>
      </c>
      <c r="F30" s="68">
        <f>(C8/(PI()*C17*F23))/0.000000001</f>
        <v>3.1840000000000002</v>
      </c>
      <c r="G30" s="5" t="s">
        <v>119</v>
      </c>
      <c r="I30" s="5" t="s">
        <v>158</v>
      </c>
      <c r="M30" s="5" t="s">
        <v>211</v>
      </c>
    </row>
    <row r="31" spans="1:13" x14ac:dyDescent="0.2">
      <c r="E31" s="5" t="s">
        <v>205</v>
      </c>
      <c r="F31" s="68">
        <f>(C8/(PI()*C17*F23))/0.000000000001</f>
        <v>3184.0000000000005</v>
      </c>
      <c r="G31" s="5" t="s">
        <v>120</v>
      </c>
      <c r="I31" s="5" t="s">
        <v>209</v>
      </c>
      <c r="M31" s="5" t="s">
        <v>160</v>
      </c>
    </row>
    <row r="32" spans="1:13" x14ac:dyDescent="0.2">
      <c r="I32" s="5" t="s">
        <v>153</v>
      </c>
      <c r="M32" s="5" t="s">
        <v>161</v>
      </c>
    </row>
    <row r="33" spans="9:13" x14ac:dyDescent="0.2">
      <c r="I33" s="5" t="s">
        <v>157</v>
      </c>
      <c r="M33" s="5" t="s">
        <v>168</v>
      </c>
    </row>
  </sheetData>
  <sheetProtection sheet="1" objects="1" scenarios="1"/>
  <pageMargins left="0.7" right="0.7" top="0.75" bottom="0.75" header="0.3" footer="0.3"/>
  <pageSetup orientation="portrait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Index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</vt:vector>
  </TitlesOfParts>
  <Company>Private Contractor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William Engholm</dc:creator>
  <cp:lastModifiedBy>Paul William Engholm</cp:lastModifiedBy>
  <cp:lastPrinted>2015-01-03T06:59:09Z</cp:lastPrinted>
  <dcterms:created xsi:type="dcterms:W3CDTF">2015-01-01T21:41:44Z</dcterms:created>
  <dcterms:modified xsi:type="dcterms:W3CDTF">2025-09-12T21:35:05Z</dcterms:modified>
</cp:coreProperties>
</file>